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9540"/>
  </bookViews>
  <sheets>
    <sheet name="ODCZYNNIKI" sheetId="1" r:id="rId1"/>
    <sheet name="DROBNY SPRZĘT" sheetId="2" r:id="rId2"/>
    <sheet name="SZKŁO" sheetId="3" r:id="rId3"/>
  </sheets>
  <calcPr calcId="145621"/>
</workbook>
</file>

<file path=xl/calcChain.xml><?xml version="1.0" encoding="utf-8"?>
<calcChain xmlns="http://schemas.openxmlformats.org/spreadsheetml/2006/main">
  <c r="AD193" i="3" l="1"/>
  <c r="AC193" i="3"/>
  <c r="O189" i="3"/>
  <c r="AN189" i="3" s="1"/>
  <c r="AO189" i="3" s="1"/>
  <c r="O188" i="3"/>
  <c r="AN188" i="3" s="1"/>
  <c r="AO188" i="3" s="1"/>
  <c r="O187" i="3"/>
  <c r="AN187" i="3" s="1"/>
  <c r="AO187" i="3" s="1"/>
  <c r="O186" i="3"/>
  <c r="AN186" i="3" s="1"/>
  <c r="AO186" i="3" s="1"/>
  <c r="T185" i="3"/>
  <c r="O185" i="3"/>
  <c r="AN185" i="3" s="1"/>
  <c r="AO185" i="3" s="1"/>
  <c r="N185" i="3"/>
  <c r="H185" i="3"/>
  <c r="I185" i="3" s="1"/>
  <c r="L185" i="3" s="1"/>
  <c r="J185" i="3" s="1"/>
  <c r="T184" i="3"/>
  <c r="H184" i="3" s="1"/>
  <c r="I184" i="3" s="1"/>
  <c r="L184" i="3" s="1"/>
  <c r="J184" i="3" s="1"/>
  <c r="O184" i="3"/>
  <c r="N184" i="3" s="1"/>
  <c r="AO183" i="3"/>
  <c r="AN183" i="3"/>
  <c r="U183" i="3"/>
  <c r="T183" i="3" s="1"/>
  <c r="N183" i="3"/>
  <c r="H183" i="3" s="1"/>
  <c r="I183" i="3" s="1"/>
  <c r="L183" i="3" s="1"/>
  <c r="J183" i="3" s="1"/>
  <c r="AN182" i="3"/>
  <c r="AO182" i="3" s="1"/>
  <c r="U182" i="3"/>
  <c r="T182" i="3"/>
  <c r="N182" i="3"/>
  <c r="H182" i="3"/>
  <c r="I182" i="3" s="1"/>
  <c r="L182" i="3" s="1"/>
  <c r="J182" i="3" s="1"/>
  <c r="AO181" i="3"/>
  <c r="AN181" i="3"/>
  <c r="U181" i="3"/>
  <c r="T181" i="3" s="1"/>
  <c r="N181" i="3"/>
  <c r="H181" i="3" s="1"/>
  <c r="I181" i="3" s="1"/>
  <c r="L181" i="3" s="1"/>
  <c r="J181" i="3" s="1"/>
  <c r="AN180" i="3"/>
  <c r="AO180" i="3" s="1"/>
  <c r="U180" i="3"/>
  <c r="T180" i="3"/>
  <c r="N180" i="3"/>
  <c r="H180" i="3" s="1"/>
  <c r="I180" i="3" s="1"/>
  <c r="L180" i="3" s="1"/>
  <c r="J180" i="3" s="1"/>
  <c r="AO179" i="3"/>
  <c r="AN179" i="3"/>
  <c r="U179" i="3"/>
  <c r="T179" i="3" s="1"/>
  <c r="N179" i="3"/>
  <c r="H179" i="3"/>
  <c r="I179" i="3" s="1"/>
  <c r="L179" i="3" s="1"/>
  <c r="J179" i="3" s="1"/>
  <c r="AN178" i="3"/>
  <c r="AO178" i="3" s="1"/>
  <c r="U178" i="3"/>
  <c r="T178" i="3" s="1"/>
  <c r="N178" i="3"/>
  <c r="H178" i="3" s="1"/>
  <c r="I178" i="3" s="1"/>
  <c r="L178" i="3" s="1"/>
  <c r="J178" i="3" s="1"/>
  <c r="AN177" i="3"/>
  <c r="AO177" i="3" s="1"/>
  <c r="U177" i="3"/>
  <c r="T177" i="3" s="1"/>
  <c r="N177" i="3"/>
  <c r="H177" i="3" s="1"/>
  <c r="I177" i="3" s="1"/>
  <c r="L177" i="3" s="1"/>
  <c r="J177" i="3" s="1"/>
  <c r="AN176" i="3"/>
  <c r="AO176" i="3" s="1"/>
  <c r="AC176" i="3"/>
  <c r="Z176" i="3" s="1"/>
  <c r="O176" i="3"/>
  <c r="N176" i="3"/>
  <c r="H176" i="3" s="1"/>
  <c r="I176" i="3" s="1"/>
  <c r="L176" i="3" s="1"/>
  <c r="J176" i="3" s="1"/>
  <c r="AC175" i="3"/>
  <c r="Z175" i="3"/>
  <c r="O175" i="3"/>
  <c r="AN175" i="3" s="1"/>
  <c r="AO175" i="3" s="1"/>
  <c r="AN174" i="3"/>
  <c r="AO174" i="3" s="1"/>
  <c r="AC174" i="3"/>
  <c r="Z174" i="3" s="1"/>
  <c r="O174" i="3"/>
  <c r="N174" i="3"/>
  <c r="H174" i="3" s="1"/>
  <c r="I174" i="3" s="1"/>
  <c r="L174" i="3" s="1"/>
  <c r="J174" i="3" s="1"/>
  <c r="AC173" i="3"/>
  <c r="Z173" i="3"/>
  <c r="O173" i="3"/>
  <c r="AN173" i="3" s="1"/>
  <c r="AO173" i="3" s="1"/>
  <c r="AN172" i="3"/>
  <c r="AO172" i="3" s="1"/>
  <c r="AC172" i="3"/>
  <c r="Z172" i="3"/>
  <c r="O172" i="3"/>
  <c r="N172" i="3"/>
  <c r="H172" i="3" s="1"/>
  <c r="I172" i="3" s="1"/>
  <c r="L172" i="3" s="1"/>
  <c r="J172" i="3" s="1"/>
  <c r="Z171" i="3"/>
  <c r="O171" i="3"/>
  <c r="N171" i="3" s="1"/>
  <c r="H171" i="3" s="1"/>
  <c r="I171" i="3" s="1"/>
  <c r="L171" i="3" s="1"/>
  <c r="J171" i="3" s="1"/>
  <c r="Z170" i="3"/>
  <c r="O170" i="3"/>
  <c r="AN170" i="3" s="1"/>
  <c r="AO170" i="3" s="1"/>
  <c r="N170" i="3"/>
  <c r="H170" i="3"/>
  <c r="I170" i="3" s="1"/>
  <c r="L170" i="3" s="1"/>
  <c r="J170" i="3" s="1"/>
  <c r="AC169" i="3"/>
  <c r="Z169" i="3"/>
  <c r="O169" i="3"/>
  <c r="AN169" i="3" s="1"/>
  <c r="AO169" i="3" s="1"/>
  <c r="AN168" i="3"/>
  <c r="AO168" i="3" s="1"/>
  <c r="AC168" i="3"/>
  <c r="Z168" i="3"/>
  <c r="O168" i="3"/>
  <c r="N168" i="3"/>
  <c r="H168" i="3" s="1"/>
  <c r="I168" i="3" s="1"/>
  <c r="L168" i="3" s="1"/>
  <c r="J168" i="3" s="1"/>
  <c r="AC167" i="3"/>
  <c r="Z167" i="3"/>
  <c r="O167" i="3"/>
  <c r="AN167" i="3" s="1"/>
  <c r="AO167" i="3" s="1"/>
  <c r="AN166" i="3"/>
  <c r="AO166" i="3" s="1"/>
  <c r="AC166" i="3"/>
  <c r="Z166" i="3" s="1"/>
  <c r="O166" i="3"/>
  <c r="N166" i="3"/>
  <c r="H166" i="3" s="1"/>
  <c r="I166" i="3" s="1"/>
  <c r="L166" i="3" s="1"/>
  <c r="J166" i="3" s="1"/>
  <c r="Z165" i="3"/>
  <c r="O165" i="3"/>
  <c r="N165" i="3" s="1"/>
  <c r="H165" i="3" s="1"/>
  <c r="I165" i="3" s="1"/>
  <c r="L165" i="3" s="1"/>
  <c r="J165" i="3" s="1"/>
  <c r="Z164" i="3"/>
  <c r="O164" i="3"/>
  <c r="N164" i="3" s="1"/>
  <c r="H164" i="3" s="1"/>
  <c r="I164" i="3" s="1"/>
  <c r="L164" i="3" s="1"/>
  <c r="J164" i="3" s="1"/>
  <c r="AC163" i="3"/>
  <c r="Z163" i="3" s="1"/>
  <c r="O163" i="3"/>
  <c r="AN163" i="3" s="1"/>
  <c r="AO163" i="3" s="1"/>
  <c r="AC162" i="3"/>
  <c r="Z162" i="3" s="1"/>
  <c r="O162" i="3"/>
  <c r="AN162" i="3" s="1"/>
  <c r="AO162" i="3" s="1"/>
  <c r="AC161" i="3"/>
  <c r="Z161" i="3" s="1"/>
  <c r="O161" i="3"/>
  <c r="AN161" i="3" s="1"/>
  <c r="AO161" i="3" s="1"/>
  <c r="AC160" i="3"/>
  <c r="Z160" i="3" s="1"/>
  <c r="O160" i="3"/>
  <c r="AN160" i="3" s="1"/>
  <c r="AO160" i="3" s="1"/>
  <c r="AC159" i="3"/>
  <c r="Z159" i="3" s="1"/>
  <c r="O159" i="3"/>
  <c r="AN159" i="3" s="1"/>
  <c r="AO159" i="3" s="1"/>
  <c r="AC158" i="3"/>
  <c r="Z158" i="3" s="1"/>
  <c r="O158" i="3"/>
  <c r="AN158" i="3" s="1"/>
  <c r="AO158" i="3" s="1"/>
  <c r="AC157" i="3"/>
  <c r="Z157" i="3" s="1"/>
  <c r="O157" i="3"/>
  <c r="AN157" i="3" s="1"/>
  <c r="AO157" i="3" s="1"/>
  <c r="N157" i="3"/>
  <c r="H157" i="3"/>
  <c r="I157" i="3" s="1"/>
  <c r="L157" i="3" s="1"/>
  <c r="J157" i="3" s="1"/>
  <c r="AC156" i="3"/>
  <c r="Z156" i="3"/>
  <c r="O156" i="3"/>
  <c r="AN156" i="3" s="1"/>
  <c r="AO156" i="3" s="1"/>
  <c r="AN155" i="3"/>
  <c r="AO155" i="3" s="1"/>
  <c r="AC155" i="3"/>
  <c r="Z155" i="3" s="1"/>
  <c r="O155" i="3"/>
  <c r="N155" i="3"/>
  <c r="H155" i="3"/>
  <c r="I155" i="3" s="1"/>
  <c r="L155" i="3" s="1"/>
  <c r="J155" i="3" s="1"/>
  <c r="AN154" i="3"/>
  <c r="AO154" i="3" s="1"/>
  <c r="Z154" i="3"/>
  <c r="N154" i="3"/>
  <c r="I154" i="3"/>
  <c r="L154" i="3" s="1"/>
  <c r="J154" i="3" s="1"/>
  <c r="O153" i="3"/>
  <c r="AN153" i="3" s="1"/>
  <c r="AO153" i="3" s="1"/>
  <c r="O152" i="3"/>
  <c r="AN152" i="3" s="1"/>
  <c r="AO152" i="3" s="1"/>
  <c r="AN151" i="3"/>
  <c r="AO151" i="3" s="1"/>
  <c r="N151" i="3"/>
  <c r="H151" i="3" s="1"/>
  <c r="I151" i="3" s="1"/>
  <c r="L151" i="3" s="1"/>
  <c r="J151" i="3" s="1"/>
  <c r="AC150" i="3"/>
  <c r="Z150" i="3"/>
  <c r="T150" i="3"/>
  <c r="O150" i="3"/>
  <c r="AN150" i="3" s="1"/>
  <c r="AO150" i="3" s="1"/>
  <c r="N150" i="3"/>
  <c r="H150" i="3" s="1"/>
  <c r="I150" i="3" s="1"/>
  <c r="L150" i="3" s="1"/>
  <c r="J150" i="3" s="1"/>
  <c r="AO149" i="3"/>
  <c r="AC149" i="3"/>
  <c r="Z149" i="3" s="1"/>
  <c r="T149" i="3"/>
  <c r="O149" i="3"/>
  <c r="AN149" i="3" s="1"/>
  <c r="N149" i="3"/>
  <c r="H149" i="3" s="1"/>
  <c r="I149" i="3" s="1"/>
  <c r="L149" i="3" s="1"/>
  <c r="J149" i="3" s="1"/>
  <c r="Z148" i="3"/>
  <c r="O148" i="3"/>
  <c r="N148" i="3" s="1"/>
  <c r="H148" i="3" s="1"/>
  <c r="I148" i="3" s="1"/>
  <c r="L148" i="3" s="1"/>
  <c r="J148" i="3" s="1"/>
  <c r="Z147" i="3"/>
  <c r="O147" i="3"/>
  <c r="AN147" i="3" s="1"/>
  <c r="AO147" i="3" s="1"/>
  <c r="Z146" i="3"/>
  <c r="O146" i="3"/>
  <c r="N146" i="3" s="1"/>
  <c r="H146" i="3" s="1"/>
  <c r="I146" i="3" s="1"/>
  <c r="L146" i="3" s="1"/>
  <c r="J146" i="3" s="1"/>
  <c r="Z145" i="3"/>
  <c r="O145" i="3"/>
  <c r="AN145" i="3" s="1"/>
  <c r="AO145" i="3" s="1"/>
  <c r="N145" i="3"/>
  <c r="H145" i="3" s="1"/>
  <c r="I145" i="3" s="1"/>
  <c r="L145" i="3" s="1"/>
  <c r="J145" i="3" s="1"/>
  <c r="AC144" i="3"/>
  <c r="Z144" i="3"/>
  <c r="O144" i="3"/>
  <c r="AN144" i="3" s="1"/>
  <c r="AO144" i="3" s="1"/>
  <c r="AN143" i="3"/>
  <c r="AO143" i="3" s="1"/>
  <c r="AC143" i="3"/>
  <c r="Z143" i="3" s="1"/>
  <c r="O143" i="3"/>
  <c r="N143" i="3"/>
  <c r="H143" i="3" s="1"/>
  <c r="I143" i="3" s="1"/>
  <c r="L143" i="3" s="1"/>
  <c r="J143" i="3" s="1"/>
  <c r="AC142" i="3"/>
  <c r="Z142" i="3" s="1"/>
  <c r="O142" i="3"/>
  <c r="AN142" i="3" s="1"/>
  <c r="AO142" i="3" s="1"/>
  <c r="AC141" i="3"/>
  <c r="Z141" i="3" s="1"/>
  <c r="O141" i="3"/>
  <c r="AN141" i="3" s="1"/>
  <c r="AO141" i="3" s="1"/>
  <c r="AC140" i="3"/>
  <c r="Z140" i="3" s="1"/>
  <c r="O140" i="3"/>
  <c r="AN140" i="3" s="1"/>
  <c r="AO140" i="3" s="1"/>
  <c r="Z139" i="3"/>
  <c r="O139" i="3"/>
  <c r="N139" i="3" s="1"/>
  <c r="I139" i="3"/>
  <c r="L139" i="3" s="1"/>
  <c r="J139" i="3" s="1"/>
  <c r="AC138" i="3"/>
  <c r="Z138" i="3"/>
  <c r="O138" i="3"/>
  <c r="AN138" i="3" s="1"/>
  <c r="AO138" i="3" s="1"/>
  <c r="AC137" i="3"/>
  <c r="Z137" i="3" s="1"/>
  <c r="O137" i="3"/>
  <c r="AN137" i="3" s="1"/>
  <c r="AO137" i="3" s="1"/>
  <c r="AN136" i="3"/>
  <c r="AO136" i="3" s="1"/>
  <c r="AC136" i="3"/>
  <c r="Z136" i="3" s="1"/>
  <c r="O136" i="3"/>
  <c r="N136" i="3"/>
  <c r="H136" i="3" s="1"/>
  <c r="I136" i="3" s="1"/>
  <c r="L136" i="3" s="1"/>
  <c r="J136" i="3" s="1"/>
  <c r="AC135" i="3"/>
  <c r="Z135" i="3" s="1"/>
  <c r="O135" i="3"/>
  <c r="AN135" i="3" s="1"/>
  <c r="AO135" i="3" s="1"/>
  <c r="AN134" i="3"/>
  <c r="AO134" i="3" s="1"/>
  <c r="AC134" i="3"/>
  <c r="Z134" i="3" s="1"/>
  <c r="O134" i="3"/>
  <c r="N134" i="3"/>
  <c r="H134" i="3" s="1"/>
  <c r="I134" i="3" s="1"/>
  <c r="L134" i="3" s="1"/>
  <c r="J134" i="3" s="1"/>
  <c r="AC133" i="3"/>
  <c r="Z133" i="3" s="1"/>
  <c r="O133" i="3"/>
  <c r="AN133" i="3" s="1"/>
  <c r="AO133" i="3" s="1"/>
  <c r="AN132" i="3"/>
  <c r="AO132" i="3" s="1"/>
  <c r="Z132" i="3"/>
  <c r="N132" i="3"/>
  <c r="L132" i="3"/>
  <c r="J132" i="3" s="1"/>
  <c r="I132" i="3"/>
  <c r="AC131" i="3"/>
  <c r="Z131" i="3" s="1"/>
  <c r="O131" i="3"/>
  <c r="N131" i="3" s="1"/>
  <c r="H131" i="3" s="1"/>
  <c r="I131" i="3" s="1"/>
  <c r="L131" i="3" s="1"/>
  <c r="J131" i="3" s="1"/>
  <c r="AC130" i="3"/>
  <c r="Z130" i="3" s="1"/>
  <c r="O130" i="3"/>
  <c r="AN130" i="3" s="1"/>
  <c r="AO130" i="3" s="1"/>
  <c r="AC129" i="3"/>
  <c r="Z129" i="3" s="1"/>
  <c r="O129" i="3"/>
  <c r="N129" i="3" s="1"/>
  <c r="H129" i="3" s="1"/>
  <c r="I129" i="3" s="1"/>
  <c r="L129" i="3" s="1"/>
  <c r="J129" i="3" s="1"/>
  <c r="AC128" i="3"/>
  <c r="Z128" i="3" s="1"/>
  <c r="O128" i="3"/>
  <c r="AN128" i="3" s="1"/>
  <c r="AO128" i="3" s="1"/>
  <c r="AC127" i="3"/>
  <c r="Z127" i="3" s="1"/>
  <c r="O127" i="3"/>
  <c r="N127" i="3" s="1"/>
  <c r="H127" i="3" s="1"/>
  <c r="I127" i="3" s="1"/>
  <c r="L127" i="3" s="1"/>
  <c r="J127" i="3" s="1"/>
  <c r="AC126" i="3"/>
  <c r="Z126" i="3" s="1"/>
  <c r="O126" i="3"/>
  <c r="AN126" i="3" s="1"/>
  <c r="AO126" i="3" s="1"/>
  <c r="AC125" i="3"/>
  <c r="Z125" i="3" s="1"/>
  <c r="O125" i="3"/>
  <c r="N125" i="3" s="1"/>
  <c r="H125" i="3" s="1"/>
  <c r="I125" i="3" s="1"/>
  <c r="L125" i="3" s="1"/>
  <c r="J125" i="3" s="1"/>
  <c r="AC124" i="3"/>
  <c r="Z124" i="3" s="1"/>
  <c r="O124" i="3"/>
  <c r="AN124" i="3" s="1"/>
  <c r="AO124" i="3" s="1"/>
  <c r="AC123" i="3"/>
  <c r="Z123" i="3" s="1"/>
  <c r="O123" i="3"/>
  <c r="AN123" i="3" s="1"/>
  <c r="AO123" i="3" s="1"/>
  <c r="N123" i="3"/>
  <c r="H123" i="3" s="1"/>
  <c r="I123" i="3" s="1"/>
  <c r="L123" i="3" s="1"/>
  <c r="J123" i="3" s="1"/>
  <c r="AO122" i="3"/>
  <c r="AN122" i="3"/>
  <c r="N122" i="3"/>
  <c r="H122" i="3" s="1"/>
  <c r="I122" i="3" s="1"/>
  <c r="L122" i="3" s="1"/>
  <c r="J122" i="3" s="1"/>
  <c r="AC121" i="3"/>
  <c r="Z121" i="3" s="1"/>
  <c r="O121" i="3"/>
  <c r="AN121" i="3" s="1"/>
  <c r="AO121" i="3" s="1"/>
  <c r="I121" i="3"/>
  <c r="L121" i="3" s="1"/>
  <c r="J121" i="3" s="1"/>
  <c r="AC120" i="3"/>
  <c r="Z120" i="3"/>
  <c r="T120" i="3"/>
  <c r="O120" i="3"/>
  <c r="AN120" i="3" s="1"/>
  <c r="AO120" i="3" s="1"/>
  <c r="I120" i="3"/>
  <c r="L120" i="3" s="1"/>
  <c r="J120" i="3" s="1"/>
  <c r="AC119" i="3"/>
  <c r="Z119" i="3" s="1"/>
  <c r="O119" i="3"/>
  <c r="AN119" i="3" s="1"/>
  <c r="AO119" i="3" s="1"/>
  <c r="N119" i="3"/>
  <c r="H119" i="3" s="1"/>
  <c r="I119" i="3" s="1"/>
  <c r="L119" i="3" s="1"/>
  <c r="J119" i="3" s="1"/>
  <c r="AC118" i="3"/>
  <c r="Z118" i="3" s="1"/>
  <c r="O118" i="3"/>
  <c r="AN118" i="3" s="1"/>
  <c r="AO118" i="3" s="1"/>
  <c r="AC117" i="3"/>
  <c r="Z117" i="3" s="1"/>
  <c r="O117" i="3"/>
  <c r="AN117" i="3" s="1"/>
  <c r="AO117" i="3" s="1"/>
  <c r="N117" i="3"/>
  <c r="H117" i="3" s="1"/>
  <c r="I117" i="3" s="1"/>
  <c r="L117" i="3" s="1"/>
  <c r="J117" i="3" s="1"/>
  <c r="AC116" i="3"/>
  <c r="Z116" i="3" s="1"/>
  <c r="O116" i="3"/>
  <c r="AN116" i="3" s="1"/>
  <c r="AO116" i="3" s="1"/>
  <c r="AN115" i="3"/>
  <c r="AO115" i="3" s="1"/>
  <c r="AC115" i="3"/>
  <c r="Z115" i="3" s="1"/>
  <c r="X115" i="3"/>
  <c r="N115" i="3"/>
  <c r="I115" i="3"/>
  <c r="L115" i="3" s="1"/>
  <c r="J115" i="3" s="1"/>
  <c r="AN114" i="3"/>
  <c r="AO114" i="3" s="1"/>
  <c r="Z114" i="3"/>
  <c r="O114" i="3"/>
  <c r="N114" i="3" s="1"/>
  <c r="L114" i="3"/>
  <c r="J114" i="3" s="1"/>
  <c r="I114" i="3"/>
  <c r="AO113" i="3"/>
  <c r="AN113" i="3"/>
  <c r="Z113" i="3"/>
  <c r="N113" i="3"/>
  <c r="L113" i="3"/>
  <c r="J113" i="3" s="1"/>
  <c r="I113" i="3"/>
  <c r="AN112" i="3"/>
  <c r="AO112" i="3" s="1"/>
  <c r="AC112" i="3"/>
  <c r="Z112" i="3" s="1"/>
  <c r="O112" i="3"/>
  <c r="N112" i="3" s="1"/>
  <c r="H112" i="3" s="1"/>
  <c r="I112" i="3" s="1"/>
  <c r="L112" i="3" s="1"/>
  <c r="J112" i="3" s="1"/>
  <c r="AC111" i="3"/>
  <c r="Z111" i="3"/>
  <c r="O111" i="3"/>
  <c r="AN111" i="3" s="1"/>
  <c r="AO111" i="3" s="1"/>
  <c r="AN110" i="3"/>
  <c r="AO110" i="3" s="1"/>
  <c r="AC110" i="3"/>
  <c r="Z110" i="3" s="1"/>
  <c r="O110" i="3"/>
  <c r="N110" i="3" s="1"/>
  <c r="H110" i="3" s="1"/>
  <c r="I110" i="3" s="1"/>
  <c r="L110" i="3" s="1"/>
  <c r="J110" i="3" s="1"/>
  <c r="AC109" i="3"/>
  <c r="Z109" i="3"/>
  <c r="O109" i="3"/>
  <c r="AN109" i="3" s="1"/>
  <c r="AO109" i="3" s="1"/>
  <c r="AN108" i="3"/>
  <c r="AO108" i="3" s="1"/>
  <c r="AC108" i="3"/>
  <c r="Z108" i="3" s="1"/>
  <c r="O108" i="3"/>
  <c r="N108" i="3" s="1"/>
  <c r="H108" i="3" s="1"/>
  <c r="I108" i="3" s="1"/>
  <c r="L108" i="3" s="1"/>
  <c r="J108" i="3" s="1"/>
  <c r="AC107" i="3"/>
  <c r="Z107" i="3" s="1"/>
  <c r="O107" i="3"/>
  <c r="AN106" i="3"/>
  <c r="AO106" i="3" s="1"/>
  <c r="AC106" i="3"/>
  <c r="Z106" i="3" s="1"/>
  <c r="O106" i="3"/>
  <c r="N106" i="3"/>
  <c r="H106" i="3" s="1"/>
  <c r="I106" i="3" s="1"/>
  <c r="L106" i="3" s="1"/>
  <c r="J106" i="3" s="1"/>
  <c r="AC105" i="3"/>
  <c r="Z105" i="3" s="1"/>
  <c r="O105" i="3"/>
  <c r="AN104" i="3"/>
  <c r="AO104" i="3" s="1"/>
  <c r="AC104" i="3"/>
  <c r="Z104" i="3" s="1"/>
  <c r="O104" i="3"/>
  <c r="N104" i="3"/>
  <c r="H104" i="3" s="1"/>
  <c r="I104" i="3" s="1"/>
  <c r="L104" i="3" s="1"/>
  <c r="J104" i="3" s="1"/>
  <c r="AC103" i="3"/>
  <c r="Z103" i="3" s="1"/>
  <c r="O103" i="3"/>
  <c r="AN102" i="3"/>
  <c r="AO102" i="3" s="1"/>
  <c r="AC102" i="3"/>
  <c r="Z102" i="3" s="1"/>
  <c r="O102" i="3"/>
  <c r="N102" i="3"/>
  <c r="H102" i="3" s="1"/>
  <c r="I102" i="3" s="1"/>
  <c r="L102" i="3" s="1"/>
  <c r="J102" i="3" s="1"/>
  <c r="AC101" i="3"/>
  <c r="Z101" i="3" s="1"/>
  <c r="O101" i="3"/>
  <c r="AN100" i="3"/>
  <c r="AO100" i="3" s="1"/>
  <c r="AC100" i="3"/>
  <c r="Z100" i="3" s="1"/>
  <c r="O100" i="3"/>
  <c r="N100" i="3"/>
  <c r="H100" i="3" s="1"/>
  <c r="I100" i="3" s="1"/>
  <c r="L100" i="3" s="1"/>
  <c r="J100" i="3" s="1"/>
  <c r="AC99" i="3"/>
  <c r="Z99" i="3" s="1"/>
  <c r="O99" i="3"/>
  <c r="AC98" i="3"/>
  <c r="Z98" i="3" s="1"/>
  <c r="O98" i="3"/>
  <c r="AN98" i="3" s="1"/>
  <c r="AO98" i="3" s="1"/>
  <c r="AC97" i="3"/>
  <c r="Z97" i="3" s="1"/>
  <c r="O97" i="3"/>
  <c r="AN97" i="3" s="1"/>
  <c r="AO97" i="3" s="1"/>
  <c r="I97" i="3"/>
  <c r="L97" i="3" s="1"/>
  <c r="J97" i="3" s="1"/>
  <c r="AC96" i="3"/>
  <c r="Z96" i="3" s="1"/>
  <c r="O96" i="3"/>
  <c r="AN96" i="3" s="1"/>
  <c r="AO96" i="3" s="1"/>
  <c r="N96" i="3"/>
  <c r="H96" i="3" s="1"/>
  <c r="I96" i="3" s="1"/>
  <c r="L96" i="3" s="1"/>
  <c r="J96" i="3" s="1"/>
  <c r="AC95" i="3"/>
  <c r="Z95" i="3" s="1"/>
  <c r="O95" i="3"/>
  <c r="AN95" i="3" s="1"/>
  <c r="AO95" i="3" s="1"/>
  <c r="AC94" i="3"/>
  <c r="Z94" i="3" s="1"/>
  <c r="O94" i="3"/>
  <c r="AN94" i="3" s="1"/>
  <c r="AO94" i="3" s="1"/>
  <c r="N94" i="3"/>
  <c r="H94" i="3" s="1"/>
  <c r="I94" i="3" s="1"/>
  <c r="L94" i="3" s="1"/>
  <c r="J94" i="3" s="1"/>
  <c r="AC93" i="3"/>
  <c r="Z93" i="3" s="1"/>
  <c r="O93" i="3"/>
  <c r="AN93" i="3" s="1"/>
  <c r="AO93" i="3" s="1"/>
  <c r="AC92" i="3"/>
  <c r="Z92" i="3" s="1"/>
  <c r="O92" i="3"/>
  <c r="AN92" i="3" s="1"/>
  <c r="AO92" i="3" s="1"/>
  <c r="N92" i="3"/>
  <c r="H92" i="3" s="1"/>
  <c r="I92" i="3" s="1"/>
  <c r="L92" i="3" s="1"/>
  <c r="J92" i="3" s="1"/>
  <c r="AC91" i="3"/>
  <c r="Z91" i="3" s="1"/>
  <c r="O91" i="3"/>
  <c r="AN91" i="3" s="1"/>
  <c r="AO91" i="3" s="1"/>
  <c r="AC90" i="3"/>
  <c r="Z90" i="3" s="1"/>
  <c r="O90" i="3"/>
  <c r="AN90" i="3" s="1"/>
  <c r="AO90" i="3" s="1"/>
  <c r="N90" i="3"/>
  <c r="H90" i="3" s="1"/>
  <c r="I90" i="3" s="1"/>
  <c r="L90" i="3" s="1"/>
  <c r="J90" i="3" s="1"/>
  <c r="AC89" i="3"/>
  <c r="Z89" i="3" s="1"/>
  <c r="O89" i="3"/>
  <c r="AN89" i="3" s="1"/>
  <c r="AO89" i="3" s="1"/>
  <c r="AC88" i="3"/>
  <c r="Z88" i="3" s="1"/>
  <c r="O88" i="3"/>
  <c r="AN88" i="3" s="1"/>
  <c r="AO88" i="3" s="1"/>
  <c r="N88" i="3"/>
  <c r="H88" i="3" s="1"/>
  <c r="I88" i="3" s="1"/>
  <c r="L88" i="3" s="1"/>
  <c r="J88" i="3" s="1"/>
  <c r="AC87" i="3"/>
  <c r="Z87" i="3" s="1"/>
  <c r="O87" i="3"/>
  <c r="AN87" i="3" s="1"/>
  <c r="AO87" i="3" s="1"/>
  <c r="AC86" i="3"/>
  <c r="Z86" i="3" s="1"/>
  <c r="O86" i="3"/>
  <c r="AN86" i="3" s="1"/>
  <c r="AO86" i="3" s="1"/>
  <c r="N86" i="3"/>
  <c r="H86" i="3" s="1"/>
  <c r="I86" i="3" s="1"/>
  <c r="L86" i="3" s="1"/>
  <c r="J86" i="3" s="1"/>
  <c r="AC85" i="3"/>
  <c r="Z85" i="3" s="1"/>
  <c r="O85" i="3"/>
  <c r="AN85" i="3" s="1"/>
  <c r="AO85" i="3" s="1"/>
  <c r="AC84" i="3"/>
  <c r="Z84" i="3" s="1"/>
  <c r="O84" i="3"/>
  <c r="AN84" i="3" s="1"/>
  <c r="AO84" i="3" s="1"/>
  <c r="N84" i="3"/>
  <c r="H84" i="3" s="1"/>
  <c r="I84" i="3" s="1"/>
  <c r="L84" i="3" s="1"/>
  <c r="J84" i="3" s="1"/>
  <c r="AC83" i="3"/>
  <c r="Z83" i="3" s="1"/>
  <c r="O83" i="3"/>
  <c r="AN83" i="3" s="1"/>
  <c r="AO83" i="3" s="1"/>
  <c r="AC82" i="3"/>
  <c r="Z82" i="3" s="1"/>
  <c r="O82" i="3"/>
  <c r="AN82" i="3" s="1"/>
  <c r="AO82" i="3" s="1"/>
  <c r="N82" i="3"/>
  <c r="H82" i="3" s="1"/>
  <c r="I82" i="3" s="1"/>
  <c r="L82" i="3" s="1"/>
  <c r="J82" i="3" s="1"/>
  <c r="AC81" i="3"/>
  <c r="Z81" i="3" s="1"/>
  <c r="O81" i="3"/>
  <c r="AN81" i="3" s="1"/>
  <c r="AO81" i="3" s="1"/>
  <c r="AC80" i="3"/>
  <c r="Z80" i="3" s="1"/>
  <c r="O80" i="3"/>
  <c r="AN80" i="3" s="1"/>
  <c r="AO80" i="3" s="1"/>
  <c r="N80" i="3"/>
  <c r="H80" i="3" s="1"/>
  <c r="I80" i="3" s="1"/>
  <c r="L80" i="3" s="1"/>
  <c r="J80" i="3" s="1"/>
  <c r="AC79" i="3"/>
  <c r="Z79" i="3" s="1"/>
  <c r="O79" i="3"/>
  <c r="AN79" i="3" s="1"/>
  <c r="AO79" i="3" s="1"/>
  <c r="AC78" i="3"/>
  <c r="Z78" i="3" s="1"/>
  <c r="O78" i="3"/>
  <c r="AN78" i="3" s="1"/>
  <c r="AO78" i="3" s="1"/>
  <c r="N78" i="3"/>
  <c r="H78" i="3" s="1"/>
  <c r="I78" i="3" s="1"/>
  <c r="L78" i="3" s="1"/>
  <c r="J78" i="3" s="1"/>
  <c r="AC77" i="3"/>
  <c r="Z77" i="3" s="1"/>
  <c r="O77" i="3"/>
  <c r="AN77" i="3" s="1"/>
  <c r="AO77" i="3" s="1"/>
  <c r="AC76" i="3"/>
  <c r="Z76" i="3" s="1"/>
  <c r="O76" i="3"/>
  <c r="AN76" i="3" s="1"/>
  <c r="AO76" i="3" s="1"/>
  <c r="N76" i="3"/>
  <c r="H76" i="3" s="1"/>
  <c r="I76" i="3" s="1"/>
  <c r="L76" i="3" s="1"/>
  <c r="J76" i="3" s="1"/>
  <c r="AC75" i="3"/>
  <c r="Z75" i="3" s="1"/>
  <c r="O75" i="3"/>
  <c r="AN75" i="3" s="1"/>
  <c r="AO75" i="3" s="1"/>
  <c r="AC74" i="3"/>
  <c r="Z74" i="3" s="1"/>
  <c r="O74" i="3"/>
  <c r="AN74" i="3" s="1"/>
  <c r="AO74" i="3" s="1"/>
  <c r="N74" i="3"/>
  <c r="H74" i="3" s="1"/>
  <c r="I74" i="3" s="1"/>
  <c r="L74" i="3" s="1"/>
  <c r="J74" i="3" s="1"/>
  <c r="AC73" i="3"/>
  <c r="Z73" i="3" s="1"/>
  <c r="O73" i="3"/>
  <c r="AN73" i="3" s="1"/>
  <c r="AO73" i="3" s="1"/>
  <c r="AC72" i="3"/>
  <c r="Z72" i="3" s="1"/>
  <c r="O72" i="3"/>
  <c r="AN72" i="3" s="1"/>
  <c r="AO72" i="3" s="1"/>
  <c r="N72" i="3"/>
  <c r="H72" i="3" s="1"/>
  <c r="I72" i="3" s="1"/>
  <c r="L72" i="3" s="1"/>
  <c r="J72" i="3" s="1"/>
  <c r="AC71" i="3"/>
  <c r="Z71" i="3" s="1"/>
  <c r="O71" i="3"/>
  <c r="AN71" i="3" s="1"/>
  <c r="AO71" i="3" s="1"/>
  <c r="AC70" i="3"/>
  <c r="Z70" i="3" s="1"/>
  <c r="O70" i="3"/>
  <c r="AN70" i="3" s="1"/>
  <c r="AO70" i="3" s="1"/>
  <c r="N70" i="3"/>
  <c r="H70" i="3" s="1"/>
  <c r="I70" i="3" s="1"/>
  <c r="L70" i="3" s="1"/>
  <c r="J70" i="3" s="1"/>
  <c r="AC69" i="3"/>
  <c r="Z69" i="3" s="1"/>
  <c r="O69" i="3"/>
  <c r="AN69" i="3" s="1"/>
  <c r="AO69" i="3" s="1"/>
  <c r="AC68" i="3"/>
  <c r="Z68" i="3" s="1"/>
  <c r="O68" i="3"/>
  <c r="AN68" i="3" s="1"/>
  <c r="AO68" i="3" s="1"/>
  <c r="N68" i="3"/>
  <c r="H68" i="3" s="1"/>
  <c r="I68" i="3" s="1"/>
  <c r="L68" i="3" s="1"/>
  <c r="J68" i="3" s="1"/>
  <c r="AC67" i="3"/>
  <c r="Z67" i="3" s="1"/>
  <c r="O67" i="3"/>
  <c r="AN67" i="3" s="1"/>
  <c r="AO67" i="3" s="1"/>
  <c r="AN66" i="3"/>
  <c r="AO66" i="3" s="1"/>
  <c r="N66" i="3"/>
  <c r="I66" i="3"/>
  <c r="L66" i="3" s="1"/>
  <c r="J66" i="3" s="1"/>
  <c r="AO65" i="3"/>
  <c r="AN65" i="3"/>
  <c r="N65" i="3"/>
  <c r="I65" i="3"/>
  <c r="L65" i="3" s="1"/>
  <c r="J65" i="3" s="1"/>
  <c r="AN64" i="3"/>
  <c r="AO64" i="3" s="1"/>
  <c r="N64" i="3"/>
  <c r="I64" i="3"/>
  <c r="L64" i="3" s="1"/>
  <c r="J64" i="3" s="1"/>
  <c r="AO63" i="3"/>
  <c r="AN63" i="3"/>
  <c r="N63" i="3"/>
  <c r="I63" i="3"/>
  <c r="L63" i="3" s="1"/>
  <c r="J63" i="3" s="1"/>
  <c r="AC62" i="3"/>
  <c r="Z62" i="3" s="1"/>
  <c r="X62" i="3"/>
  <c r="O62" i="3"/>
  <c r="AN62" i="3" s="1"/>
  <c r="AO62" i="3" s="1"/>
  <c r="I62" i="3"/>
  <c r="L62" i="3" s="1"/>
  <c r="J62" i="3" s="1"/>
  <c r="AC61" i="3"/>
  <c r="Z61" i="3"/>
  <c r="O61" i="3"/>
  <c r="AN61" i="3" s="1"/>
  <c r="AO61" i="3" s="1"/>
  <c r="AN60" i="3"/>
  <c r="AO60" i="3" s="1"/>
  <c r="AC60" i="3"/>
  <c r="Z60" i="3" s="1"/>
  <c r="O60" i="3"/>
  <c r="N60" i="3"/>
  <c r="H60" i="3" s="1"/>
  <c r="I60" i="3" s="1"/>
  <c r="L60" i="3" s="1"/>
  <c r="J60" i="3" s="1"/>
  <c r="AC59" i="3"/>
  <c r="Z59" i="3"/>
  <c r="O59" i="3"/>
  <c r="AN59" i="3" s="1"/>
  <c r="AO59" i="3" s="1"/>
  <c r="AN58" i="3"/>
  <c r="AO58" i="3" s="1"/>
  <c r="AC58" i="3"/>
  <c r="Z58" i="3" s="1"/>
  <c r="O58" i="3"/>
  <c r="N58" i="3"/>
  <c r="H58" i="3" s="1"/>
  <c r="I58" i="3" s="1"/>
  <c r="L58" i="3" s="1"/>
  <c r="J58" i="3" s="1"/>
  <c r="AC57" i="3"/>
  <c r="Z57" i="3"/>
  <c r="O57" i="3"/>
  <c r="AN57" i="3" s="1"/>
  <c r="AO57" i="3" s="1"/>
  <c r="AN56" i="3"/>
  <c r="AO56" i="3" s="1"/>
  <c r="AC56" i="3"/>
  <c r="Z56" i="3" s="1"/>
  <c r="O56" i="3"/>
  <c r="N56" i="3"/>
  <c r="H56" i="3" s="1"/>
  <c r="I56" i="3" s="1"/>
  <c r="L56" i="3" s="1"/>
  <c r="J56" i="3" s="1"/>
  <c r="AI55" i="3"/>
  <c r="Z55" i="3"/>
  <c r="O55" i="3"/>
  <c r="AN55" i="3" s="1"/>
  <c r="AO55" i="3" s="1"/>
  <c r="AI54" i="3"/>
  <c r="Z54" i="3"/>
  <c r="O54" i="3"/>
  <c r="AN54" i="3" s="1"/>
  <c r="AO54" i="3" s="1"/>
  <c r="AH53" i="3"/>
  <c r="AC53" i="3"/>
  <c r="Z53" i="3" s="1"/>
  <c r="O53" i="3"/>
  <c r="AC52" i="3"/>
  <c r="Z52" i="3" s="1"/>
  <c r="O52" i="3"/>
  <c r="AN51" i="3"/>
  <c r="AO51" i="3" s="1"/>
  <c r="AC51" i="3"/>
  <c r="Z51" i="3" s="1"/>
  <c r="O51" i="3"/>
  <c r="N51" i="3" s="1"/>
  <c r="H51" i="3"/>
  <c r="I51" i="3" s="1"/>
  <c r="L51" i="3" s="1"/>
  <c r="J51" i="3" s="1"/>
  <c r="AC50" i="3"/>
  <c r="Z50" i="3"/>
  <c r="O50" i="3"/>
  <c r="AN49" i="3"/>
  <c r="AO49" i="3" s="1"/>
  <c r="AC49" i="3"/>
  <c r="Z49" i="3" s="1"/>
  <c r="O49" i="3"/>
  <c r="N49" i="3" s="1"/>
  <c r="H49" i="3" s="1"/>
  <c r="I49" i="3" s="1"/>
  <c r="L49" i="3" s="1"/>
  <c r="J49" i="3" s="1"/>
  <c r="AC48" i="3"/>
  <c r="Z48" i="3" s="1"/>
  <c r="O48" i="3"/>
  <c r="AC47" i="3"/>
  <c r="Z47" i="3" s="1"/>
  <c r="O47" i="3"/>
  <c r="N47" i="3" s="1"/>
  <c r="H47" i="3" s="1"/>
  <c r="I47" i="3" s="1"/>
  <c r="L47" i="3" s="1"/>
  <c r="J47" i="3" s="1"/>
  <c r="AC46" i="3"/>
  <c r="Z46" i="3" s="1"/>
  <c r="O46" i="3"/>
  <c r="AC45" i="3"/>
  <c r="Z45" i="3" s="1"/>
  <c r="O45" i="3"/>
  <c r="AN45" i="3" s="1"/>
  <c r="AO45" i="3" s="1"/>
  <c r="L45" i="3"/>
  <c r="J45" i="3" s="1"/>
  <c r="I45" i="3"/>
  <c r="AN44" i="3"/>
  <c r="AO44" i="3" s="1"/>
  <c r="Z44" i="3"/>
  <c r="U44" i="3"/>
  <c r="T44" i="3" s="1"/>
  <c r="N44" i="3"/>
  <c r="H44" i="3" s="1"/>
  <c r="I44" i="3" s="1"/>
  <c r="L44" i="3" s="1"/>
  <c r="J44" i="3" s="1"/>
  <c r="AC43" i="3"/>
  <c r="Z43" i="3"/>
  <c r="O43" i="3"/>
  <c r="AN42" i="3"/>
  <c r="AO42" i="3" s="1"/>
  <c r="AC42" i="3"/>
  <c r="Z42" i="3"/>
  <c r="O42" i="3"/>
  <c r="N42" i="3"/>
  <c r="H42" i="3" s="1"/>
  <c r="I42" i="3" s="1"/>
  <c r="L42" i="3" s="1"/>
  <c r="J42" i="3" s="1"/>
  <c r="AN41" i="3"/>
  <c r="AO41" i="3" s="1"/>
  <c r="AC41" i="3"/>
  <c r="Z41" i="3"/>
  <c r="O41" i="3"/>
  <c r="N41" i="3"/>
  <c r="H41" i="3" s="1"/>
  <c r="I41" i="3" s="1"/>
  <c r="L41" i="3" s="1"/>
  <c r="J41" i="3" s="1"/>
  <c r="AN40" i="3"/>
  <c r="AO40" i="3" s="1"/>
  <c r="AC40" i="3"/>
  <c r="Z40" i="3"/>
  <c r="O40" i="3"/>
  <c r="N40" i="3"/>
  <c r="H40" i="3" s="1"/>
  <c r="I40" i="3" s="1"/>
  <c r="L40" i="3" s="1"/>
  <c r="J40" i="3" s="1"/>
  <c r="AN39" i="3"/>
  <c r="AO39" i="3" s="1"/>
  <c r="AC39" i="3"/>
  <c r="Z39" i="3"/>
  <c r="O39" i="3"/>
  <c r="N39" i="3"/>
  <c r="H39" i="3" s="1"/>
  <c r="I39" i="3" s="1"/>
  <c r="L39" i="3" s="1"/>
  <c r="J39" i="3" s="1"/>
  <c r="AN38" i="3"/>
  <c r="AO38" i="3" s="1"/>
  <c r="AC38" i="3"/>
  <c r="Z38" i="3"/>
  <c r="O38" i="3"/>
  <c r="N38" i="3"/>
  <c r="H38" i="3" s="1"/>
  <c r="I38" i="3" s="1"/>
  <c r="L38" i="3" s="1"/>
  <c r="J38" i="3" s="1"/>
  <c r="AN37" i="3"/>
  <c r="AO37" i="3" s="1"/>
  <c r="AC37" i="3"/>
  <c r="Z37" i="3"/>
  <c r="O37" i="3"/>
  <c r="N37" i="3"/>
  <c r="H37" i="3" s="1"/>
  <c r="I37" i="3" s="1"/>
  <c r="L37" i="3" s="1"/>
  <c r="J37" i="3" s="1"/>
  <c r="AN36" i="3"/>
  <c r="AO36" i="3" s="1"/>
  <c r="AC36" i="3"/>
  <c r="Z36" i="3"/>
  <c r="O36" i="3"/>
  <c r="N36" i="3"/>
  <c r="H36" i="3" s="1"/>
  <c r="I36" i="3" s="1"/>
  <c r="L36" i="3" s="1"/>
  <c r="J36" i="3" s="1"/>
  <c r="AN35" i="3"/>
  <c r="AO35" i="3" s="1"/>
  <c r="AC35" i="3"/>
  <c r="Z35" i="3"/>
  <c r="O35" i="3"/>
  <c r="N35" i="3"/>
  <c r="H35" i="3" s="1"/>
  <c r="I35" i="3" s="1"/>
  <c r="L35" i="3" s="1"/>
  <c r="J35" i="3" s="1"/>
  <c r="AN34" i="3"/>
  <c r="AO34" i="3" s="1"/>
  <c r="AC34" i="3"/>
  <c r="Z34" i="3"/>
  <c r="O34" i="3"/>
  <c r="N34" i="3"/>
  <c r="H34" i="3" s="1"/>
  <c r="I34" i="3" s="1"/>
  <c r="L34" i="3" s="1"/>
  <c r="J34" i="3" s="1"/>
  <c r="AC33" i="3"/>
  <c r="Z33" i="3" s="1"/>
  <c r="O33" i="3"/>
  <c r="AN33" i="3" s="1"/>
  <c r="AO33" i="3" s="1"/>
  <c r="AC32" i="3"/>
  <c r="Z32" i="3" s="1"/>
  <c r="O32" i="3"/>
  <c r="AN32" i="3" s="1"/>
  <c r="AO32" i="3" s="1"/>
  <c r="AN31" i="3"/>
  <c r="AO31" i="3" s="1"/>
  <c r="AC31" i="3"/>
  <c r="Z31" i="3"/>
  <c r="O31" i="3"/>
  <c r="N31" i="3"/>
  <c r="H31" i="3" s="1"/>
  <c r="I31" i="3" s="1"/>
  <c r="L31" i="3" s="1"/>
  <c r="J31" i="3" s="1"/>
  <c r="AN30" i="3"/>
  <c r="AO30" i="3" s="1"/>
  <c r="AC30" i="3"/>
  <c r="Z30" i="3"/>
  <c r="O30" i="3"/>
  <c r="N30" i="3"/>
  <c r="H30" i="3" s="1"/>
  <c r="I30" i="3" s="1"/>
  <c r="L30" i="3" s="1"/>
  <c r="J30" i="3" s="1"/>
  <c r="AC29" i="3"/>
  <c r="Z29" i="3" s="1"/>
  <c r="O29" i="3"/>
  <c r="AN29" i="3" s="1"/>
  <c r="AO29" i="3" s="1"/>
  <c r="AN28" i="3"/>
  <c r="AO28" i="3" s="1"/>
  <c r="AC28" i="3"/>
  <c r="Z28" i="3"/>
  <c r="O28" i="3"/>
  <c r="N28" i="3"/>
  <c r="H28" i="3" s="1"/>
  <c r="I28" i="3" s="1"/>
  <c r="L28" i="3" s="1"/>
  <c r="J28" i="3" s="1"/>
  <c r="AC27" i="3"/>
  <c r="Z27" i="3" s="1"/>
  <c r="O27" i="3"/>
  <c r="AN27" i="3" s="1"/>
  <c r="AO27" i="3" s="1"/>
  <c r="AN26" i="3"/>
  <c r="AO26" i="3" s="1"/>
  <c r="AC26" i="3"/>
  <c r="Z26" i="3"/>
  <c r="O26" i="3"/>
  <c r="N26" i="3"/>
  <c r="H26" i="3" s="1"/>
  <c r="I26" i="3" s="1"/>
  <c r="L26" i="3" s="1"/>
  <c r="J26" i="3" s="1"/>
  <c r="AC25" i="3"/>
  <c r="Z25" i="3" s="1"/>
  <c r="O25" i="3"/>
  <c r="AN25" i="3" s="1"/>
  <c r="AO25" i="3" s="1"/>
  <c r="AN24" i="3"/>
  <c r="AO24" i="3" s="1"/>
  <c r="O24" i="3"/>
  <c r="N24" i="3"/>
  <c r="H24" i="3" s="1"/>
  <c r="I24" i="3" s="1"/>
  <c r="L24" i="3" s="1"/>
  <c r="J24" i="3" s="1"/>
  <c r="AC23" i="3"/>
  <c r="Z23" i="3" s="1"/>
  <c r="O23" i="3"/>
  <c r="AN23" i="3" s="1"/>
  <c r="AO23" i="3" s="1"/>
  <c r="AN22" i="3"/>
  <c r="AO22" i="3" s="1"/>
  <c r="AC22" i="3"/>
  <c r="Z22" i="3"/>
  <c r="O22" i="3"/>
  <c r="N22" i="3"/>
  <c r="H22" i="3" s="1"/>
  <c r="I22" i="3" s="1"/>
  <c r="L22" i="3" s="1"/>
  <c r="J22" i="3" s="1"/>
  <c r="AC21" i="3"/>
  <c r="Z21" i="3" s="1"/>
  <c r="O21" i="3"/>
  <c r="AN21" i="3" s="1"/>
  <c r="AO21" i="3" s="1"/>
  <c r="AN20" i="3"/>
  <c r="AO20" i="3" s="1"/>
  <c r="AC20" i="3"/>
  <c r="Z20" i="3"/>
  <c r="O20" i="3"/>
  <c r="N20" i="3"/>
  <c r="H20" i="3" s="1"/>
  <c r="I20" i="3" s="1"/>
  <c r="L20" i="3" s="1"/>
  <c r="J20" i="3" s="1"/>
  <c r="AC19" i="3"/>
  <c r="Z19" i="3" s="1"/>
  <c r="U19" i="3"/>
  <c r="T19" i="3" s="1"/>
  <c r="H19" i="3" s="1"/>
  <c r="I19" i="3" s="1"/>
  <c r="L19" i="3" s="1"/>
  <c r="J19" i="3" s="1"/>
  <c r="O19" i="3"/>
  <c r="AN19" i="3" s="1"/>
  <c r="AO19" i="3" s="1"/>
  <c r="AN18" i="3"/>
  <c r="AO18" i="3" s="1"/>
  <c r="AC18" i="3"/>
  <c r="Z18" i="3"/>
  <c r="U18" i="3"/>
  <c r="T18" i="3"/>
  <c r="H18" i="3" s="1"/>
  <c r="I18" i="3" s="1"/>
  <c r="L18" i="3" s="1"/>
  <c r="J18" i="3" s="1"/>
  <c r="O18" i="3"/>
  <c r="N18" i="3"/>
  <c r="AC17" i="3"/>
  <c r="Z17" i="3" s="1"/>
  <c r="U17" i="3"/>
  <c r="T17" i="3" s="1"/>
  <c r="H17" i="3" s="1"/>
  <c r="I17" i="3" s="1"/>
  <c r="L17" i="3" s="1"/>
  <c r="J17" i="3" s="1"/>
  <c r="O17" i="3"/>
  <c r="N17" i="3" s="1"/>
  <c r="AN16" i="3"/>
  <c r="AO16" i="3" s="1"/>
  <c r="AC16" i="3"/>
  <c r="Z16" i="3"/>
  <c r="U16" i="3"/>
  <c r="T16" i="3"/>
  <c r="H16" i="3" s="1"/>
  <c r="I16" i="3" s="1"/>
  <c r="L16" i="3" s="1"/>
  <c r="J16" i="3" s="1"/>
  <c r="O16" i="3"/>
  <c r="N16" i="3"/>
  <c r="AN15" i="3"/>
  <c r="AO15" i="3" s="1"/>
  <c r="Z15" i="3"/>
  <c r="N15" i="3"/>
  <c r="I15" i="3"/>
  <c r="L15" i="3" s="1"/>
  <c r="J15" i="3" s="1"/>
  <c r="AC14" i="3"/>
  <c r="Z14" i="3" s="1"/>
  <c r="O14" i="3"/>
  <c r="AN14" i="3" s="1"/>
  <c r="AO14" i="3" s="1"/>
  <c r="AC13" i="3"/>
  <c r="Z13" i="3" s="1"/>
  <c r="O13" i="3"/>
  <c r="AN13" i="3" s="1"/>
  <c r="AO13" i="3" s="1"/>
  <c r="AC12" i="3"/>
  <c r="Z12" i="3" s="1"/>
  <c r="O12" i="3"/>
  <c r="AN12" i="3" s="1"/>
  <c r="AO12" i="3" s="1"/>
  <c r="AN17" i="3" l="1"/>
  <c r="AO17" i="3" s="1"/>
  <c r="N19" i="3"/>
  <c r="N21" i="3"/>
  <c r="H21" i="3" s="1"/>
  <c r="I21" i="3" s="1"/>
  <c r="L21" i="3" s="1"/>
  <c r="J21" i="3" s="1"/>
  <c r="N27" i="3"/>
  <c r="H27" i="3" s="1"/>
  <c r="I27" i="3" s="1"/>
  <c r="L27" i="3" s="1"/>
  <c r="J27" i="3" s="1"/>
  <c r="N33" i="3"/>
  <c r="H33" i="3" s="1"/>
  <c r="I33" i="3" s="1"/>
  <c r="L33" i="3" s="1"/>
  <c r="J33" i="3" s="1"/>
  <c r="N45" i="3"/>
  <c r="N54" i="3"/>
  <c r="H54" i="3" s="1"/>
  <c r="I54" i="3" s="1"/>
  <c r="L54" i="3" s="1"/>
  <c r="J54" i="3" s="1"/>
  <c r="AN53" i="3"/>
  <c r="AO53" i="3" s="1"/>
  <c r="N53" i="3"/>
  <c r="H53" i="3" s="1"/>
  <c r="I53" i="3" s="1"/>
  <c r="L53" i="3" s="1"/>
  <c r="J53" i="3" s="1"/>
  <c r="N23" i="3"/>
  <c r="H23" i="3" s="1"/>
  <c r="I23" i="3" s="1"/>
  <c r="L23" i="3" s="1"/>
  <c r="J23" i="3" s="1"/>
  <c r="N25" i="3"/>
  <c r="H25" i="3" s="1"/>
  <c r="I25" i="3" s="1"/>
  <c r="L25" i="3" s="1"/>
  <c r="J25" i="3" s="1"/>
  <c r="N29" i="3"/>
  <c r="H29" i="3" s="1"/>
  <c r="I29" i="3" s="1"/>
  <c r="L29" i="3" s="1"/>
  <c r="J29" i="3" s="1"/>
  <c r="N32" i="3"/>
  <c r="H32" i="3" s="1"/>
  <c r="I32" i="3" s="1"/>
  <c r="L32" i="3" s="1"/>
  <c r="J32" i="3" s="1"/>
  <c r="AN47" i="3"/>
  <c r="AO47" i="3" s="1"/>
  <c r="N97" i="3"/>
  <c r="AN125" i="3"/>
  <c r="AO125" i="3" s="1"/>
  <c r="AN127" i="3"/>
  <c r="AO127" i="3" s="1"/>
  <c r="AN129" i="3"/>
  <c r="AO129" i="3" s="1"/>
  <c r="AN131" i="3"/>
  <c r="AO131" i="3" s="1"/>
  <c r="N137" i="3"/>
  <c r="H137" i="3" s="1"/>
  <c r="I137" i="3" s="1"/>
  <c r="L137" i="3" s="1"/>
  <c r="J137" i="3" s="1"/>
  <c r="N141" i="3"/>
  <c r="H141" i="3" s="1"/>
  <c r="I141" i="3" s="1"/>
  <c r="L141" i="3" s="1"/>
  <c r="J141" i="3" s="1"/>
  <c r="N144" i="3"/>
  <c r="H144" i="3" s="1"/>
  <c r="I144" i="3" s="1"/>
  <c r="L144" i="3" s="1"/>
  <c r="J144" i="3" s="1"/>
  <c r="N147" i="3"/>
  <c r="H147" i="3" s="1"/>
  <c r="I147" i="3" s="1"/>
  <c r="L147" i="3" s="1"/>
  <c r="J147" i="3" s="1"/>
  <c r="AN164" i="3"/>
  <c r="AO164" i="3" s="1"/>
  <c r="AN165" i="3"/>
  <c r="AO165" i="3" s="1"/>
  <c r="N167" i="3"/>
  <c r="H167" i="3" s="1"/>
  <c r="I167" i="3" s="1"/>
  <c r="L167" i="3" s="1"/>
  <c r="J167" i="3" s="1"/>
  <c r="N169" i="3"/>
  <c r="H169" i="3" s="1"/>
  <c r="I169" i="3" s="1"/>
  <c r="L169" i="3" s="1"/>
  <c r="J169" i="3" s="1"/>
  <c r="N138" i="3"/>
  <c r="H138" i="3" s="1"/>
  <c r="I138" i="3" s="1"/>
  <c r="L138" i="3" s="1"/>
  <c r="J138" i="3" s="1"/>
  <c r="AN139" i="3"/>
  <c r="AO139" i="3" s="1"/>
  <c r="N156" i="3"/>
  <c r="H156" i="3" s="1"/>
  <c r="I156" i="3" s="1"/>
  <c r="L156" i="3" s="1"/>
  <c r="J156" i="3" s="1"/>
  <c r="N158" i="3"/>
  <c r="H158" i="3" s="1"/>
  <c r="I158" i="3" s="1"/>
  <c r="L158" i="3" s="1"/>
  <c r="J158" i="3" s="1"/>
  <c r="N160" i="3"/>
  <c r="H160" i="3" s="1"/>
  <c r="I160" i="3" s="1"/>
  <c r="L160" i="3" s="1"/>
  <c r="J160" i="3" s="1"/>
  <c r="N162" i="3"/>
  <c r="H162" i="3" s="1"/>
  <c r="I162" i="3" s="1"/>
  <c r="L162" i="3" s="1"/>
  <c r="J162" i="3" s="1"/>
  <c r="N98" i="3"/>
  <c r="H98" i="3" s="1"/>
  <c r="I98" i="3" s="1"/>
  <c r="L98" i="3" s="1"/>
  <c r="J98" i="3" s="1"/>
  <c r="N140" i="3"/>
  <c r="H140" i="3" s="1"/>
  <c r="I140" i="3" s="1"/>
  <c r="L140" i="3" s="1"/>
  <c r="J140" i="3" s="1"/>
  <c r="N142" i="3"/>
  <c r="H142" i="3" s="1"/>
  <c r="I142" i="3" s="1"/>
  <c r="L142" i="3" s="1"/>
  <c r="J142" i="3" s="1"/>
  <c r="N173" i="3"/>
  <c r="H173" i="3" s="1"/>
  <c r="I173" i="3" s="1"/>
  <c r="L173" i="3" s="1"/>
  <c r="J173" i="3" s="1"/>
  <c r="N175" i="3"/>
  <c r="H175" i="3" s="1"/>
  <c r="I175" i="3" s="1"/>
  <c r="L175" i="3" s="1"/>
  <c r="J175" i="3" s="1"/>
  <c r="N159" i="3"/>
  <c r="H159" i="3" s="1"/>
  <c r="I159" i="3" s="1"/>
  <c r="L159" i="3" s="1"/>
  <c r="J159" i="3" s="1"/>
  <c r="N161" i="3"/>
  <c r="H161" i="3" s="1"/>
  <c r="I161" i="3" s="1"/>
  <c r="L161" i="3" s="1"/>
  <c r="J161" i="3" s="1"/>
  <c r="N163" i="3"/>
  <c r="H163" i="3" s="1"/>
  <c r="I163" i="3" s="1"/>
  <c r="L163" i="3" s="1"/>
  <c r="J163" i="3" s="1"/>
  <c r="AN52" i="3"/>
  <c r="AO52" i="3" s="1"/>
  <c r="N52" i="3"/>
  <c r="H52" i="3" s="1"/>
  <c r="I52" i="3" s="1"/>
  <c r="L52" i="3" s="1"/>
  <c r="J52" i="3" s="1"/>
  <c r="N12" i="3"/>
  <c r="H12" i="3" s="1"/>
  <c r="I12" i="3" s="1"/>
  <c r="L12" i="3" s="1"/>
  <c r="J12" i="3" s="1"/>
  <c r="N14" i="3"/>
  <c r="H14" i="3" s="1"/>
  <c r="I14" i="3" s="1"/>
  <c r="L14" i="3" s="1"/>
  <c r="J14" i="3" s="1"/>
  <c r="AN43" i="3"/>
  <c r="AO43" i="3" s="1"/>
  <c r="N43" i="3"/>
  <c r="H43" i="3" s="1"/>
  <c r="I43" i="3" s="1"/>
  <c r="L43" i="3" s="1"/>
  <c r="J43" i="3" s="1"/>
  <c r="AN50" i="3"/>
  <c r="AO50" i="3" s="1"/>
  <c r="N50" i="3"/>
  <c r="H50" i="3" s="1"/>
  <c r="I50" i="3" s="1"/>
  <c r="L50" i="3" s="1"/>
  <c r="J50" i="3" s="1"/>
  <c r="AN48" i="3"/>
  <c r="AO48" i="3" s="1"/>
  <c r="N48" i="3"/>
  <c r="H48" i="3" s="1"/>
  <c r="I48" i="3" s="1"/>
  <c r="L48" i="3" s="1"/>
  <c r="J48" i="3" s="1"/>
  <c r="N13" i="3"/>
  <c r="H13" i="3" s="1"/>
  <c r="I13" i="3" s="1"/>
  <c r="L13" i="3" s="1"/>
  <c r="J13" i="3" s="1"/>
  <c r="AN46" i="3"/>
  <c r="AO46" i="3" s="1"/>
  <c r="N46" i="3"/>
  <c r="H46" i="3" s="1"/>
  <c r="I46" i="3" s="1"/>
  <c r="L46" i="3" s="1"/>
  <c r="J46" i="3" s="1"/>
  <c r="N62" i="3"/>
  <c r="AN99" i="3"/>
  <c r="AO99" i="3" s="1"/>
  <c r="N99" i="3"/>
  <c r="H99" i="3" s="1"/>
  <c r="I99" i="3" s="1"/>
  <c r="L99" i="3" s="1"/>
  <c r="J99" i="3" s="1"/>
  <c r="AN101" i="3"/>
  <c r="AO101" i="3" s="1"/>
  <c r="N101" i="3"/>
  <c r="H101" i="3" s="1"/>
  <c r="I101" i="3" s="1"/>
  <c r="L101" i="3" s="1"/>
  <c r="J101" i="3" s="1"/>
  <c r="AN103" i="3"/>
  <c r="AO103" i="3" s="1"/>
  <c r="N103" i="3"/>
  <c r="H103" i="3" s="1"/>
  <c r="I103" i="3" s="1"/>
  <c r="L103" i="3" s="1"/>
  <c r="J103" i="3" s="1"/>
  <c r="AN105" i="3"/>
  <c r="AO105" i="3" s="1"/>
  <c r="N105" i="3"/>
  <c r="H105" i="3" s="1"/>
  <c r="I105" i="3" s="1"/>
  <c r="L105" i="3" s="1"/>
  <c r="J105" i="3" s="1"/>
  <c r="AN107" i="3"/>
  <c r="AO107" i="3" s="1"/>
  <c r="N107" i="3"/>
  <c r="H107" i="3" s="1"/>
  <c r="I107" i="3" s="1"/>
  <c r="L107" i="3" s="1"/>
  <c r="J107" i="3" s="1"/>
  <c r="N55" i="3"/>
  <c r="H55" i="3" s="1"/>
  <c r="I55" i="3" s="1"/>
  <c r="L55" i="3" s="1"/>
  <c r="J55" i="3" s="1"/>
  <c r="N57" i="3"/>
  <c r="H57" i="3" s="1"/>
  <c r="I57" i="3" s="1"/>
  <c r="L57" i="3" s="1"/>
  <c r="J57" i="3" s="1"/>
  <c r="N59" i="3"/>
  <c r="H59" i="3" s="1"/>
  <c r="I59" i="3" s="1"/>
  <c r="L59" i="3" s="1"/>
  <c r="J59" i="3" s="1"/>
  <c r="N61" i="3"/>
  <c r="H61" i="3" s="1"/>
  <c r="I61" i="3" s="1"/>
  <c r="L61" i="3" s="1"/>
  <c r="J61" i="3" s="1"/>
  <c r="N67" i="3"/>
  <c r="H67" i="3" s="1"/>
  <c r="I67" i="3" s="1"/>
  <c r="L67" i="3" s="1"/>
  <c r="J67" i="3" s="1"/>
  <c r="N69" i="3"/>
  <c r="H69" i="3" s="1"/>
  <c r="I69" i="3" s="1"/>
  <c r="L69" i="3" s="1"/>
  <c r="J69" i="3" s="1"/>
  <c r="N71" i="3"/>
  <c r="H71" i="3" s="1"/>
  <c r="I71" i="3" s="1"/>
  <c r="L71" i="3" s="1"/>
  <c r="J71" i="3" s="1"/>
  <c r="N73" i="3"/>
  <c r="H73" i="3" s="1"/>
  <c r="I73" i="3" s="1"/>
  <c r="L73" i="3" s="1"/>
  <c r="J73" i="3" s="1"/>
  <c r="N75" i="3"/>
  <c r="H75" i="3" s="1"/>
  <c r="I75" i="3" s="1"/>
  <c r="L75" i="3" s="1"/>
  <c r="J75" i="3" s="1"/>
  <c r="N77" i="3"/>
  <c r="H77" i="3" s="1"/>
  <c r="I77" i="3" s="1"/>
  <c r="L77" i="3" s="1"/>
  <c r="J77" i="3" s="1"/>
  <c r="N79" i="3"/>
  <c r="H79" i="3" s="1"/>
  <c r="I79" i="3" s="1"/>
  <c r="L79" i="3" s="1"/>
  <c r="J79" i="3" s="1"/>
  <c r="N81" i="3"/>
  <c r="H81" i="3" s="1"/>
  <c r="I81" i="3" s="1"/>
  <c r="L81" i="3" s="1"/>
  <c r="J81" i="3" s="1"/>
  <c r="N83" i="3"/>
  <c r="H83" i="3" s="1"/>
  <c r="I83" i="3" s="1"/>
  <c r="L83" i="3" s="1"/>
  <c r="J83" i="3" s="1"/>
  <c r="N85" i="3"/>
  <c r="H85" i="3" s="1"/>
  <c r="I85" i="3" s="1"/>
  <c r="L85" i="3" s="1"/>
  <c r="J85" i="3" s="1"/>
  <c r="N87" i="3"/>
  <c r="H87" i="3" s="1"/>
  <c r="I87" i="3" s="1"/>
  <c r="L87" i="3" s="1"/>
  <c r="J87" i="3" s="1"/>
  <c r="N89" i="3"/>
  <c r="H89" i="3" s="1"/>
  <c r="I89" i="3" s="1"/>
  <c r="L89" i="3" s="1"/>
  <c r="J89" i="3" s="1"/>
  <c r="N91" i="3"/>
  <c r="H91" i="3" s="1"/>
  <c r="I91" i="3" s="1"/>
  <c r="L91" i="3" s="1"/>
  <c r="J91" i="3" s="1"/>
  <c r="N93" i="3"/>
  <c r="H93" i="3" s="1"/>
  <c r="I93" i="3" s="1"/>
  <c r="L93" i="3" s="1"/>
  <c r="J93" i="3" s="1"/>
  <c r="N95" i="3"/>
  <c r="H95" i="3" s="1"/>
  <c r="I95" i="3" s="1"/>
  <c r="L95" i="3" s="1"/>
  <c r="J95" i="3" s="1"/>
  <c r="N120" i="3"/>
  <c r="N133" i="3"/>
  <c r="H133" i="3" s="1"/>
  <c r="I133" i="3" s="1"/>
  <c r="L133" i="3" s="1"/>
  <c r="J133" i="3" s="1"/>
  <c r="N135" i="3"/>
  <c r="H135" i="3" s="1"/>
  <c r="I135" i="3" s="1"/>
  <c r="L135" i="3" s="1"/>
  <c r="J135" i="3" s="1"/>
  <c r="AN148" i="3"/>
  <c r="AO148" i="3" s="1"/>
  <c r="N109" i="3"/>
  <c r="H109" i="3" s="1"/>
  <c r="I109" i="3" s="1"/>
  <c r="L109" i="3" s="1"/>
  <c r="J109" i="3" s="1"/>
  <c r="N111" i="3"/>
  <c r="H111" i="3" s="1"/>
  <c r="I111" i="3" s="1"/>
  <c r="L111" i="3" s="1"/>
  <c r="J111" i="3" s="1"/>
  <c r="N116" i="3"/>
  <c r="H116" i="3" s="1"/>
  <c r="I116" i="3" s="1"/>
  <c r="L116" i="3" s="1"/>
  <c r="J116" i="3" s="1"/>
  <c r="N118" i="3"/>
  <c r="H118" i="3" s="1"/>
  <c r="I118" i="3" s="1"/>
  <c r="L118" i="3" s="1"/>
  <c r="J118" i="3" s="1"/>
  <c r="N124" i="3"/>
  <c r="H124" i="3" s="1"/>
  <c r="I124" i="3" s="1"/>
  <c r="L124" i="3" s="1"/>
  <c r="J124" i="3" s="1"/>
  <c r="N126" i="3"/>
  <c r="H126" i="3" s="1"/>
  <c r="I126" i="3" s="1"/>
  <c r="L126" i="3" s="1"/>
  <c r="J126" i="3" s="1"/>
  <c r="N128" i="3"/>
  <c r="H128" i="3" s="1"/>
  <c r="I128" i="3" s="1"/>
  <c r="L128" i="3" s="1"/>
  <c r="J128" i="3" s="1"/>
  <c r="N130" i="3"/>
  <c r="H130" i="3" s="1"/>
  <c r="I130" i="3" s="1"/>
  <c r="L130" i="3" s="1"/>
  <c r="J130" i="3" s="1"/>
  <c r="AN146" i="3"/>
  <c r="AO146" i="3" s="1"/>
  <c r="N121" i="3"/>
  <c r="AN171" i="3"/>
  <c r="AO171" i="3" s="1"/>
  <c r="N152" i="3"/>
  <c r="H152" i="3" s="1"/>
  <c r="I152" i="3" s="1"/>
  <c r="L152" i="3" s="1"/>
  <c r="J152" i="3" s="1"/>
  <c r="N153" i="3"/>
  <c r="H153" i="3" s="1"/>
  <c r="I153" i="3" s="1"/>
  <c r="L153" i="3" s="1"/>
  <c r="J153" i="3" s="1"/>
  <c r="N186" i="3"/>
  <c r="H186" i="3" s="1"/>
  <c r="I186" i="3" s="1"/>
  <c r="L186" i="3" s="1"/>
  <c r="J186" i="3" s="1"/>
  <c r="N187" i="3"/>
  <c r="H187" i="3" s="1"/>
  <c r="I187" i="3" s="1"/>
  <c r="L187" i="3" s="1"/>
  <c r="J187" i="3" s="1"/>
  <c r="N188" i="3"/>
  <c r="H188" i="3" s="1"/>
  <c r="I188" i="3" s="1"/>
  <c r="L188" i="3" s="1"/>
  <c r="J188" i="3" s="1"/>
  <c r="N189" i="3"/>
  <c r="H189" i="3" s="1"/>
  <c r="I189" i="3" s="1"/>
  <c r="L189" i="3" s="1"/>
  <c r="J189" i="3" s="1"/>
  <c r="AN184" i="3"/>
  <c r="AO184" i="3" s="1"/>
  <c r="AO190" i="3" l="1"/>
  <c r="G294" i="2" l="1"/>
  <c r="H294" i="2" s="1"/>
  <c r="K294" i="2" s="1"/>
  <c r="J294" i="2" s="1"/>
  <c r="G293" i="2"/>
  <c r="H293" i="2" s="1"/>
  <c r="K293" i="2" s="1"/>
  <c r="J293" i="2" s="1"/>
  <c r="G292" i="2"/>
  <c r="H292" i="2" s="1"/>
  <c r="K292" i="2" s="1"/>
  <c r="J292" i="2" s="1"/>
  <c r="G291" i="2"/>
  <c r="H291" i="2" s="1"/>
  <c r="K291" i="2" s="1"/>
  <c r="J291" i="2" s="1"/>
  <c r="G290" i="2"/>
  <c r="H290" i="2" s="1"/>
  <c r="K290" i="2" s="1"/>
  <c r="J290" i="2" s="1"/>
  <c r="G289" i="2"/>
  <c r="H289" i="2" s="1"/>
  <c r="K289" i="2" s="1"/>
  <c r="J289" i="2" s="1"/>
  <c r="G288" i="2"/>
  <c r="H288" i="2" s="1"/>
  <c r="K288" i="2" s="1"/>
  <c r="J288" i="2" s="1"/>
  <c r="G287" i="2"/>
  <c r="H287" i="2" s="1"/>
  <c r="K287" i="2" s="1"/>
  <c r="J287" i="2" s="1"/>
  <c r="G286" i="2"/>
  <c r="H286" i="2" s="1"/>
  <c r="K286" i="2" s="1"/>
  <c r="J286" i="2" s="1"/>
  <c r="G285" i="2"/>
  <c r="H285" i="2" s="1"/>
  <c r="K285" i="2" s="1"/>
  <c r="J285" i="2" s="1"/>
  <c r="G284" i="2"/>
  <c r="H284" i="2" s="1"/>
  <c r="K284" i="2" s="1"/>
  <c r="J284" i="2" s="1"/>
  <c r="G283" i="2"/>
  <c r="H283" i="2" s="1"/>
  <c r="K283" i="2" s="1"/>
  <c r="J283" i="2" s="1"/>
  <c r="G282" i="2"/>
  <c r="H282" i="2" s="1"/>
  <c r="K282" i="2" s="1"/>
  <c r="J282" i="2" s="1"/>
  <c r="G281" i="2"/>
  <c r="H281" i="2" s="1"/>
  <c r="K281" i="2" s="1"/>
  <c r="J281" i="2" s="1"/>
  <c r="G280" i="2"/>
  <c r="H280" i="2" s="1"/>
  <c r="K280" i="2" s="1"/>
  <c r="J280" i="2" s="1"/>
  <c r="G279" i="2"/>
  <c r="H279" i="2" s="1"/>
  <c r="K279" i="2" s="1"/>
  <c r="J279" i="2" s="1"/>
  <c r="G278" i="2"/>
  <c r="H278" i="2" s="1"/>
  <c r="K278" i="2" s="1"/>
  <c r="J278" i="2" s="1"/>
  <c r="G277" i="2"/>
  <c r="H277" i="2" s="1"/>
  <c r="K277" i="2" s="1"/>
  <c r="J277" i="2" s="1"/>
  <c r="G276" i="2"/>
  <c r="H276" i="2" s="1"/>
  <c r="K276" i="2" s="1"/>
  <c r="J276" i="2" s="1"/>
  <c r="G275" i="2"/>
  <c r="H275" i="2" s="1"/>
  <c r="K275" i="2" s="1"/>
  <c r="J275" i="2" s="1"/>
  <c r="G274" i="2"/>
  <c r="H274" i="2" s="1"/>
  <c r="K274" i="2" s="1"/>
  <c r="J274" i="2" s="1"/>
  <c r="G273" i="2"/>
  <c r="H273" i="2" s="1"/>
  <c r="K273" i="2" s="1"/>
  <c r="J273" i="2" s="1"/>
  <c r="G272" i="2"/>
  <c r="H272" i="2" s="1"/>
  <c r="K272" i="2" s="1"/>
  <c r="J272" i="2" s="1"/>
  <c r="G271" i="2"/>
  <c r="H271" i="2" s="1"/>
  <c r="K271" i="2" s="1"/>
  <c r="J271" i="2" s="1"/>
  <c r="G270" i="2"/>
  <c r="H270" i="2" s="1"/>
  <c r="K270" i="2" s="1"/>
  <c r="J270" i="2" s="1"/>
  <c r="G269" i="2"/>
  <c r="H269" i="2" s="1"/>
  <c r="K269" i="2" s="1"/>
  <c r="J269" i="2" s="1"/>
  <c r="G268" i="2"/>
  <c r="H268" i="2" s="1"/>
  <c r="K268" i="2" s="1"/>
  <c r="J268" i="2" s="1"/>
  <c r="G267" i="2"/>
  <c r="H267" i="2" s="1"/>
  <c r="K267" i="2" s="1"/>
  <c r="J267" i="2" s="1"/>
  <c r="G266" i="2"/>
  <c r="H266" i="2" s="1"/>
  <c r="K266" i="2" s="1"/>
  <c r="J266" i="2" s="1"/>
  <c r="G265" i="2"/>
  <c r="H265" i="2" s="1"/>
  <c r="K265" i="2" s="1"/>
  <c r="J265" i="2" s="1"/>
  <c r="G264" i="2"/>
  <c r="H264" i="2" s="1"/>
  <c r="K264" i="2" s="1"/>
  <c r="J264" i="2" s="1"/>
  <c r="G263" i="2"/>
  <c r="H263" i="2" s="1"/>
  <c r="K263" i="2" s="1"/>
  <c r="J263" i="2" s="1"/>
  <c r="G262" i="2"/>
  <c r="H262" i="2" s="1"/>
  <c r="K262" i="2" s="1"/>
  <c r="J262" i="2" s="1"/>
  <c r="G261" i="2"/>
  <c r="H261" i="2" s="1"/>
  <c r="K261" i="2" s="1"/>
  <c r="J261" i="2" s="1"/>
  <c r="G260" i="2"/>
  <c r="H260" i="2" s="1"/>
  <c r="K260" i="2" s="1"/>
  <c r="J260" i="2" s="1"/>
  <c r="G259" i="2"/>
  <c r="H259" i="2" s="1"/>
  <c r="K259" i="2" s="1"/>
  <c r="J259" i="2" s="1"/>
  <c r="G258" i="2"/>
  <c r="H258" i="2" s="1"/>
  <c r="K258" i="2" s="1"/>
  <c r="J258" i="2" s="1"/>
  <c r="G257" i="2"/>
  <c r="H257" i="2" s="1"/>
  <c r="K257" i="2" s="1"/>
  <c r="J257" i="2" s="1"/>
  <c r="G256" i="2"/>
  <c r="H256" i="2" s="1"/>
  <c r="K256" i="2" s="1"/>
  <c r="J256" i="2" s="1"/>
  <c r="G255" i="2"/>
  <c r="H255" i="2" s="1"/>
  <c r="K255" i="2" s="1"/>
  <c r="J255" i="2" s="1"/>
  <c r="G254" i="2"/>
  <c r="H254" i="2" s="1"/>
  <c r="K254" i="2" s="1"/>
  <c r="J254" i="2" s="1"/>
  <c r="G253" i="2"/>
  <c r="H253" i="2" s="1"/>
  <c r="K253" i="2" s="1"/>
  <c r="J253" i="2" s="1"/>
  <c r="G252" i="2"/>
  <c r="H252" i="2" s="1"/>
  <c r="K252" i="2" s="1"/>
  <c r="J252" i="2" s="1"/>
  <c r="G251" i="2"/>
  <c r="H251" i="2" s="1"/>
  <c r="K251" i="2" s="1"/>
  <c r="J251" i="2" s="1"/>
  <c r="G250" i="2"/>
  <c r="H250" i="2" s="1"/>
  <c r="K250" i="2" s="1"/>
  <c r="J250" i="2" s="1"/>
  <c r="G249" i="2"/>
  <c r="H249" i="2" s="1"/>
  <c r="K249" i="2" s="1"/>
  <c r="J249" i="2" s="1"/>
  <c r="G248" i="2"/>
  <c r="H248" i="2" s="1"/>
  <c r="K248" i="2" s="1"/>
  <c r="J248" i="2" s="1"/>
  <c r="G247" i="2"/>
  <c r="H247" i="2" s="1"/>
  <c r="K247" i="2" s="1"/>
  <c r="J247" i="2" s="1"/>
  <c r="G246" i="2"/>
  <c r="H246" i="2" s="1"/>
  <c r="K246" i="2" s="1"/>
  <c r="J246" i="2" s="1"/>
  <c r="G245" i="2"/>
  <c r="H245" i="2" s="1"/>
  <c r="K245" i="2" s="1"/>
  <c r="J245" i="2" s="1"/>
  <c r="G244" i="2"/>
  <c r="H244" i="2" s="1"/>
  <c r="K244" i="2" s="1"/>
  <c r="J244" i="2" s="1"/>
  <c r="G243" i="2"/>
  <c r="H243" i="2" s="1"/>
  <c r="K243" i="2" s="1"/>
  <c r="J243" i="2" s="1"/>
  <c r="G242" i="2"/>
  <c r="H242" i="2" s="1"/>
  <c r="K242" i="2" s="1"/>
  <c r="J242" i="2" s="1"/>
  <c r="G241" i="2"/>
  <c r="H241" i="2" s="1"/>
  <c r="K241" i="2" s="1"/>
  <c r="J241" i="2" s="1"/>
  <c r="G240" i="2"/>
  <c r="H240" i="2" s="1"/>
  <c r="K240" i="2" s="1"/>
  <c r="J240" i="2" s="1"/>
  <c r="G239" i="2"/>
  <c r="H239" i="2" s="1"/>
  <c r="K239" i="2" s="1"/>
  <c r="J239" i="2" s="1"/>
  <c r="G238" i="2"/>
  <c r="H238" i="2" s="1"/>
  <c r="K238" i="2" s="1"/>
  <c r="J238" i="2" s="1"/>
  <c r="G237" i="2"/>
  <c r="H237" i="2" s="1"/>
  <c r="K237" i="2" s="1"/>
  <c r="J237" i="2" s="1"/>
  <c r="G236" i="2"/>
  <c r="H236" i="2" s="1"/>
  <c r="K236" i="2" s="1"/>
  <c r="J236" i="2" s="1"/>
  <c r="G235" i="2"/>
  <c r="H235" i="2" s="1"/>
  <c r="K235" i="2" s="1"/>
  <c r="J235" i="2" s="1"/>
  <c r="G234" i="2"/>
  <c r="H234" i="2" s="1"/>
  <c r="K234" i="2" s="1"/>
  <c r="J234" i="2" s="1"/>
  <c r="G233" i="2"/>
  <c r="H233" i="2" s="1"/>
  <c r="K233" i="2" s="1"/>
  <c r="J233" i="2" s="1"/>
  <c r="G232" i="2"/>
  <c r="H232" i="2" s="1"/>
  <c r="K232" i="2" s="1"/>
  <c r="J232" i="2" s="1"/>
  <c r="G231" i="2"/>
  <c r="H231" i="2" s="1"/>
  <c r="K231" i="2" s="1"/>
  <c r="J231" i="2" s="1"/>
  <c r="G230" i="2"/>
  <c r="H230" i="2" s="1"/>
  <c r="K230" i="2" s="1"/>
  <c r="J230" i="2" s="1"/>
  <c r="G229" i="2"/>
  <c r="H229" i="2" s="1"/>
  <c r="K229" i="2" s="1"/>
  <c r="J229" i="2" s="1"/>
  <c r="G228" i="2"/>
  <c r="H228" i="2" s="1"/>
  <c r="K228" i="2" s="1"/>
  <c r="J228" i="2" s="1"/>
  <c r="G227" i="2"/>
  <c r="H227" i="2" s="1"/>
  <c r="K227" i="2" s="1"/>
  <c r="J227" i="2" s="1"/>
  <c r="G226" i="2"/>
  <c r="H226" i="2" s="1"/>
  <c r="K226" i="2" s="1"/>
  <c r="J226" i="2" s="1"/>
  <c r="G225" i="2"/>
  <c r="H225" i="2" s="1"/>
  <c r="K225" i="2" s="1"/>
  <c r="J225" i="2" s="1"/>
  <c r="G224" i="2"/>
  <c r="H224" i="2" s="1"/>
  <c r="K224" i="2" s="1"/>
  <c r="J224" i="2" s="1"/>
  <c r="G223" i="2"/>
  <c r="H223" i="2" s="1"/>
  <c r="K223" i="2" s="1"/>
  <c r="J223" i="2" s="1"/>
  <c r="G222" i="2"/>
  <c r="H222" i="2" s="1"/>
  <c r="K222" i="2" s="1"/>
  <c r="J222" i="2" s="1"/>
  <c r="G221" i="2"/>
  <c r="H221" i="2" s="1"/>
  <c r="K221" i="2" s="1"/>
  <c r="J221" i="2" s="1"/>
  <c r="G220" i="2"/>
  <c r="H220" i="2" s="1"/>
  <c r="K220" i="2" s="1"/>
  <c r="J220" i="2" s="1"/>
  <c r="G219" i="2"/>
  <c r="H219" i="2" s="1"/>
  <c r="K219" i="2" s="1"/>
  <c r="J219" i="2" s="1"/>
  <c r="G218" i="2"/>
  <c r="H218" i="2" s="1"/>
  <c r="K218" i="2" s="1"/>
  <c r="J218" i="2" s="1"/>
  <c r="G217" i="2"/>
  <c r="H217" i="2" s="1"/>
  <c r="K217" i="2" s="1"/>
  <c r="J217" i="2" s="1"/>
  <c r="G216" i="2"/>
  <c r="H216" i="2" s="1"/>
  <c r="K216" i="2" s="1"/>
  <c r="J216" i="2" s="1"/>
  <c r="G215" i="2"/>
  <c r="H215" i="2" s="1"/>
  <c r="K215" i="2" s="1"/>
  <c r="J215" i="2" s="1"/>
  <c r="G214" i="2"/>
  <c r="H214" i="2" s="1"/>
  <c r="K214" i="2" s="1"/>
  <c r="J214" i="2" s="1"/>
  <c r="G213" i="2"/>
  <c r="H213" i="2" s="1"/>
  <c r="K213" i="2" s="1"/>
  <c r="J213" i="2" s="1"/>
  <c r="G212" i="2"/>
  <c r="H212" i="2" s="1"/>
  <c r="K212" i="2" s="1"/>
  <c r="J212" i="2" s="1"/>
  <c r="G211" i="2"/>
  <c r="H211" i="2" s="1"/>
  <c r="K211" i="2" s="1"/>
  <c r="J211" i="2" s="1"/>
  <c r="G210" i="2"/>
  <c r="H210" i="2" s="1"/>
  <c r="K210" i="2" s="1"/>
  <c r="J210" i="2" s="1"/>
  <c r="H209" i="2"/>
  <c r="K209" i="2" s="1"/>
  <c r="J209" i="2" s="1"/>
  <c r="H208" i="2"/>
  <c r="K208" i="2" s="1"/>
  <c r="J208" i="2" s="1"/>
  <c r="G208" i="2"/>
  <c r="H207" i="2"/>
  <c r="K207" i="2" s="1"/>
  <c r="J207" i="2" s="1"/>
  <c r="G207" i="2"/>
  <c r="H206" i="2"/>
  <c r="K206" i="2" s="1"/>
  <c r="J206" i="2" s="1"/>
  <c r="G205" i="2"/>
  <c r="H205" i="2" s="1"/>
  <c r="K205" i="2" s="1"/>
  <c r="J205" i="2" s="1"/>
  <c r="G204" i="2"/>
  <c r="H204" i="2" s="1"/>
  <c r="K204" i="2" s="1"/>
  <c r="J204" i="2" s="1"/>
  <c r="G203" i="2"/>
  <c r="H203" i="2" s="1"/>
  <c r="K203" i="2" s="1"/>
  <c r="J203" i="2" s="1"/>
  <c r="G202" i="2"/>
  <c r="H202" i="2" s="1"/>
  <c r="K202" i="2" s="1"/>
  <c r="J202" i="2" s="1"/>
  <c r="G201" i="2"/>
  <c r="H201" i="2" s="1"/>
  <c r="K201" i="2" s="1"/>
  <c r="J201" i="2" s="1"/>
  <c r="G200" i="2"/>
  <c r="H200" i="2" s="1"/>
  <c r="K200" i="2" s="1"/>
  <c r="J200" i="2" s="1"/>
  <c r="G199" i="2"/>
  <c r="H199" i="2" s="1"/>
  <c r="K199" i="2" s="1"/>
  <c r="J199" i="2" s="1"/>
  <c r="G198" i="2"/>
  <c r="H198" i="2" s="1"/>
  <c r="K198" i="2" s="1"/>
  <c r="J198" i="2" s="1"/>
  <c r="G197" i="2"/>
  <c r="H197" i="2" s="1"/>
  <c r="K197" i="2" s="1"/>
  <c r="J197" i="2" s="1"/>
  <c r="G196" i="2"/>
  <c r="H196" i="2" s="1"/>
  <c r="K196" i="2" s="1"/>
  <c r="J196" i="2" s="1"/>
  <c r="G195" i="2"/>
  <c r="H195" i="2" s="1"/>
  <c r="K195" i="2" s="1"/>
  <c r="J195" i="2" s="1"/>
  <c r="G194" i="2"/>
  <c r="H194" i="2" s="1"/>
  <c r="K194" i="2" s="1"/>
  <c r="J194" i="2" s="1"/>
  <c r="G193" i="2"/>
  <c r="H193" i="2" s="1"/>
  <c r="K193" i="2" s="1"/>
  <c r="J193" i="2" s="1"/>
  <c r="G192" i="2"/>
  <c r="H192" i="2" s="1"/>
  <c r="K192" i="2" s="1"/>
  <c r="J192" i="2" s="1"/>
  <c r="G191" i="2"/>
  <c r="H191" i="2" s="1"/>
  <c r="K191" i="2" s="1"/>
  <c r="J191" i="2" s="1"/>
  <c r="G190" i="2"/>
  <c r="H190" i="2" s="1"/>
  <c r="K190" i="2" s="1"/>
  <c r="J190" i="2" s="1"/>
  <c r="G189" i="2"/>
  <c r="H189" i="2" s="1"/>
  <c r="K189" i="2" s="1"/>
  <c r="J189" i="2" s="1"/>
  <c r="G188" i="2"/>
  <c r="H188" i="2" s="1"/>
  <c r="K188" i="2" s="1"/>
  <c r="J188" i="2" s="1"/>
  <c r="G187" i="2"/>
  <c r="H187" i="2" s="1"/>
  <c r="K187" i="2" s="1"/>
  <c r="J187" i="2" s="1"/>
  <c r="G186" i="2"/>
  <c r="H186" i="2" s="1"/>
  <c r="K186" i="2" s="1"/>
  <c r="J186" i="2" s="1"/>
  <c r="G185" i="2"/>
  <c r="H185" i="2" s="1"/>
  <c r="K185" i="2" s="1"/>
  <c r="J185" i="2" s="1"/>
  <c r="G184" i="2"/>
  <c r="H184" i="2" s="1"/>
  <c r="K184" i="2" s="1"/>
  <c r="J184" i="2" s="1"/>
  <c r="G183" i="2"/>
  <c r="H183" i="2" s="1"/>
  <c r="K183" i="2" s="1"/>
  <c r="J183" i="2" s="1"/>
  <c r="G182" i="2"/>
  <c r="H182" i="2" s="1"/>
  <c r="K182" i="2" s="1"/>
  <c r="J182" i="2" s="1"/>
  <c r="G181" i="2"/>
  <c r="H181" i="2" s="1"/>
  <c r="K181" i="2" s="1"/>
  <c r="J181" i="2" s="1"/>
  <c r="G180" i="2"/>
  <c r="H180" i="2" s="1"/>
  <c r="K180" i="2" s="1"/>
  <c r="J180" i="2" s="1"/>
  <c r="G179" i="2"/>
  <c r="H179" i="2" s="1"/>
  <c r="K179" i="2" s="1"/>
  <c r="J179" i="2" s="1"/>
  <c r="G178" i="2"/>
  <c r="H178" i="2" s="1"/>
  <c r="K178" i="2" s="1"/>
  <c r="J178" i="2" s="1"/>
  <c r="G177" i="2"/>
  <c r="H177" i="2" s="1"/>
  <c r="K177" i="2" s="1"/>
  <c r="J177" i="2" s="1"/>
  <c r="G176" i="2"/>
  <c r="H176" i="2" s="1"/>
  <c r="K176" i="2" s="1"/>
  <c r="J176" i="2" s="1"/>
  <c r="G175" i="2"/>
  <c r="H175" i="2" s="1"/>
  <c r="K175" i="2" s="1"/>
  <c r="J175" i="2" s="1"/>
  <c r="G174" i="2"/>
  <c r="H174" i="2" s="1"/>
  <c r="K174" i="2" s="1"/>
  <c r="J174" i="2" s="1"/>
  <c r="G173" i="2"/>
  <c r="H173" i="2" s="1"/>
  <c r="K173" i="2" s="1"/>
  <c r="J173" i="2" s="1"/>
  <c r="G172" i="2"/>
  <c r="H172" i="2" s="1"/>
  <c r="K172" i="2" s="1"/>
  <c r="J172" i="2" s="1"/>
  <c r="G171" i="2"/>
  <c r="H171" i="2" s="1"/>
  <c r="K171" i="2" s="1"/>
  <c r="J171" i="2" s="1"/>
  <c r="G170" i="2"/>
  <c r="H170" i="2" s="1"/>
  <c r="K170" i="2" s="1"/>
  <c r="J170" i="2" s="1"/>
  <c r="G169" i="2"/>
  <c r="H169" i="2" s="1"/>
  <c r="K169" i="2" s="1"/>
  <c r="J169" i="2" s="1"/>
  <c r="G168" i="2"/>
  <c r="H168" i="2" s="1"/>
  <c r="K168" i="2" s="1"/>
  <c r="J168" i="2" s="1"/>
  <c r="G167" i="2"/>
  <c r="H167" i="2" s="1"/>
  <c r="K167" i="2" s="1"/>
  <c r="J167" i="2" s="1"/>
  <c r="G166" i="2"/>
  <c r="H166" i="2" s="1"/>
  <c r="K166" i="2" s="1"/>
  <c r="J166" i="2" s="1"/>
  <c r="G165" i="2"/>
  <c r="H165" i="2" s="1"/>
  <c r="K165" i="2" s="1"/>
  <c r="J165" i="2" s="1"/>
  <c r="G164" i="2"/>
  <c r="H164" i="2" s="1"/>
  <c r="K164" i="2" s="1"/>
  <c r="J164" i="2" s="1"/>
  <c r="G163" i="2"/>
  <c r="H163" i="2" s="1"/>
  <c r="K163" i="2" s="1"/>
  <c r="J163" i="2" s="1"/>
  <c r="G162" i="2"/>
  <c r="H162" i="2" s="1"/>
  <c r="K162" i="2" s="1"/>
  <c r="J162" i="2" s="1"/>
  <c r="G161" i="2"/>
  <c r="H161" i="2" s="1"/>
  <c r="K161" i="2" s="1"/>
  <c r="J161" i="2" s="1"/>
  <c r="G160" i="2"/>
  <c r="H160" i="2" s="1"/>
  <c r="K160" i="2" s="1"/>
  <c r="J160" i="2" s="1"/>
  <c r="G159" i="2"/>
  <c r="H159" i="2" s="1"/>
  <c r="K159" i="2" s="1"/>
  <c r="J159" i="2" s="1"/>
  <c r="G158" i="2"/>
  <c r="H158" i="2" s="1"/>
  <c r="K158" i="2" s="1"/>
  <c r="J158" i="2" s="1"/>
  <c r="G157" i="2"/>
  <c r="H157" i="2" s="1"/>
  <c r="K157" i="2" s="1"/>
  <c r="J157" i="2" s="1"/>
  <c r="G156" i="2"/>
  <c r="H156" i="2" s="1"/>
  <c r="K156" i="2" s="1"/>
  <c r="J156" i="2" s="1"/>
  <c r="G155" i="2"/>
  <c r="H155" i="2" s="1"/>
  <c r="K155" i="2" s="1"/>
  <c r="J155" i="2" s="1"/>
  <c r="G154" i="2"/>
  <c r="H154" i="2" s="1"/>
  <c r="K154" i="2" s="1"/>
  <c r="J154" i="2" s="1"/>
  <c r="G153" i="2"/>
  <c r="H153" i="2" s="1"/>
  <c r="K153" i="2" s="1"/>
  <c r="J153" i="2" s="1"/>
  <c r="G152" i="2"/>
  <c r="H152" i="2" s="1"/>
  <c r="K152" i="2" s="1"/>
  <c r="J152" i="2" s="1"/>
  <c r="G151" i="2"/>
  <c r="H151" i="2" s="1"/>
  <c r="K151" i="2" s="1"/>
  <c r="J151" i="2" s="1"/>
  <c r="G150" i="2"/>
  <c r="H150" i="2" s="1"/>
  <c r="K150" i="2" s="1"/>
  <c r="J150" i="2" s="1"/>
  <c r="G149" i="2"/>
  <c r="H149" i="2" s="1"/>
  <c r="K149" i="2" s="1"/>
  <c r="J149" i="2" s="1"/>
  <c r="G148" i="2"/>
  <c r="H148" i="2" s="1"/>
  <c r="K148" i="2" s="1"/>
  <c r="J148" i="2" s="1"/>
  <c r="G147" i="2"/>
  <c r="H147" i="2" s="1"/>
  <c r="K147" i="2" s="1"/>
  <c r="J147" i="2" s="1"/>
  <c r="G146" i="2"/>
  <c r="H146" i="2" s="1"/>
  <c r="K146" i="2" s="1"/>
  <c r="J146" i="2" s="1"/>
  <c r="G145" i="2"/>
  <c r="H145" i="2" s="1"/>
  <c r="K145" i="2" s="1"/>
  <c r="J145" i="2" s="1"/>
  <c r="G144" i="2"/>
  <c r="H144" i="2" s="1"/>
  <c r="K144" i="2" s="1"/>
  <c r="J144" i="2" s="1"/>
  <c r="G143" i="2"/>
  <c r="H143" i="2" s="1"/>
  <c r="K143" i="2" s="1"/>
  <c r="J143" i="2" s="1"/>
  <c r="G142" i="2"/>
  <c r="H142" i="2" s="1"/>
  <c r="K142" i="2" s="1"/>
  <c r="J142" i="2" s="1"/>
  <c r="G141" i="2"/>
  <c r="H141" i="2" s="1"/>
  <c r="K141" i="2" s="1"/>
  <c r="J141" i="2" s="1"/>
  <c r="G140" i="2"/>
  <c r="H140" i="2" s="1"/>
  <c r="K140" i="2" s="1"/>
  <c r="J140" i="2" s="1"/>
  <c r="G139" i="2"/>
  <c r="H139" i="2" s="1"/>
  <c r="K139" i="2" s="1"/>
  <c r="J139" i="2" s="1"/>
  <c r="G138" i="2"/>
  <c r="H138" i="2" s="1"/>
  <c r="K138" i="2" s="1"/>
  <c r="J138" i="2" s="1"/>
  <c r="G137" i="2"/>
  <c r="H137" i="2" s="1"/>
  <c r="K137" i="2" s="1"/>
  <c r="J137" i="2" s="1"/>
  <c r="G136" i="2"/>
  <c r="H136" i="2" s="1"/>
  <c r="K136" i="2" s="1"/>
  <c r="J136" i="2" s="1"/>
  <c r="G135" i="2"/>
  <c r="H135" i="2" s="1"/>
  <c r="K135" i="2" s="1"/>
  <c r="J135" i="2" s="1"/>
  <c r="G134" i="2"/>
  <c r="H134" i="2" s="1"/>
  <c r="K134" i="2" s="1"/>
  <c r="J134" i="2" s="1"/>
  <c r="G133" i="2"/>
  <c r="H133" i="2" s="1"/>
  <c r="K133" i="2" s="1"/>
  <c r="J133" i="2" s="1"/>
  <c r="G132" i="2"/>
  <c r="H132" i="2" s="1"/>
  <c r="K132" i="2" s="1"/>
  <c r="J132" i="2" s="1"/>
  <c r="G131" i="2"/>
  <c r="H131" i="2" s="1"/>
  <c r="K131" i="2" s="1"/>
  <c r="J131" i="2" s="1"/>
  <c r="G130" i="2"/>
  <c r="H130" i="2" s="1"/>
  <c r="K130" i="2" s="1"/>
  <c r="J130" i="2" s="1"/>
  <c r="K129" i="2"/>
  <c r="J129" i="2"/>
  <c r="H129" i="2"/>
  <c r="K128" i="2"/>
  <c r="J128" i="2" s="1"/>
  <c r="H128" i="2"/>
  <c r="G128" i="2"/>
  <c r="K127" i="2"/>
  <c r="J127" i="2" s="1"/>
  <c r="H127" i="2"/>
  <c r="G127" i="2"/>
  <c r="K126" i="2"/>
  <c r="J126" i="2" s="1"/>
  <c r="H126" i="2"/>
  <c r="G126" i="2"/>
  <c r="K125" i="2"/>
  <c r="J125" i="2" s="1"/>
  <c r="H125" i="2"/>
  <c r="G125" i="2"/>
  <c r="K124" i="2"/>
  <c r="J124" i="2" s="1"/>
  <c r="H124" i="2"/>
  <c r="G124" i="2"/>
  <c r="K123" i="2"/>
  <c r="J123" i="2" s="1"/>
  <c r="H123" i="2"/>
  <c r="G122" i="2"/>
  <c r="H122" i="2" s="1"/>
  <c r="K122" i="2" s="1"/>
  <c r="J122" i="2" s="1"/>
  <c r="G121" i="2"/>
  <c r="H121" i="2" s="1"/>
  <c r="K121" i="2" s="1"/>
  <c r="J121" i="2" s="1"/>
  <c r="G120" i="2"/>
  <c r="H120" i="2" s="1"/>
  <c r="K120" i="2" s="1"/>
  <c r="J120" i="2" s="1"/>
  <c r="G119" i="2"/>
  <c r="H119" i="2" s="1"/>
  <c r="K119" i="2" s="1"/>
  <c r="J119" i="2" s="1"/>
  <c r="G118" i="2"/>
  <c r="H118" i="2" s="1"/>
  <c r="K118" i="2" s="1"/>
  <c r="J118" i="2" s="1"/>
  <c r="G117" i="2"/>
  <c r="H117" i="2" s="1"/>
  <c r="K117" i="2" s="1"/>
  <c r="J117" i="2" s="1"/>
  <c r="G116" i="2"/>
  <c r="H116" i="2" s="1"/>
  <c r="K116" i="2" s="1"/>
  <c r="J116" i="2" s="1"/>
  <c r="G115" i="2"/>
  <c r="H115" i="2" s="1"/>
  <c r="K115" i="2" s="1"/>
  <c r="J115" i="2" s="1"/>
  <c r="G114" i="2"/>
  <c r="H114" i="2" s="1"/>
  <c r="K114" i="2" s="1"/>
  <c r="J114" i="2" s="1"/>
  <c r="G113" i="2"/>
  <c r="H113" i="2" s="1"/>
  <c r="K113" i="2" s="1"/>
  <c r="J113" i="2" s="1"/>
  <c r="G112" i="2"/>
  <c r="H112" i="2" s="1"/>
  <c r="K112" i="2" s="1"/>
  <c r="J112" i="2" s="1"/>
  <c r="G111" i="2"/>
  <c r="H111" i="2" s="1"/>
  <c r="K111" i="2" s="1"/>
  <c r="J111" i="2" s="1"/>
  <c r="G110" i="2"/>
  <c r="H110" i="2" s="1"/>
  <c r="K110" i="2" s="1"/>
  <c r="J110" i="2" s="1"/>
  <c r="G109" i="2"/>
  <c r="H109" i="2" s="1"/>
  <c r="K109" i="2" s="1"/>
  <c r="J109" i="2" s="1"/>
  <c r="G108" i="2"/>
  <c r="H108" i="2" s="1"/>
  <c r="K108" i="2" s="1"/>
  <c r="J108" i="2" s="1"/>
  <c r="G107" i="2"/>
  <c r="H107" i="2" s="1"/>
  <c r="K107" i="2" s="1"/>
  <c r="J107" i="2" s="1"/>
  <c r="G106" i="2"/>
  <c r="H106" i="2" s="1"/>
  <c r="K106" i="2" s="1"/>
  <c r="J106" i="2" s="1"/>
  <c r="G105" i="2"/>
  <c r="H105" i="2" s="1"/>
  <c r="K105" i="2" s="1"/>
  <c r="J105" i="2" s="1"/>
  <c r="G104" i="2"/>
  <c r="H104" i="2" s="1"/>
  <c r="K104" i="2" s="1"/>
  <c r="J104" i="2" s="1"/>
  <c r="G103" i="2"/>
  <c r="H103" i="2" s="1"/>
  <c r="K103" i="2" s="1"/>
  <c r="J103" i="2" s="1"/>
  <c r="G102" i="2"/>
  <c r="H102" i="2" s="1"/>
  <c r="K102" i="2" s="1"/>
  <c r="J102" i="2" s="1"/>
  <c r="G101" i="2"/>
  <c r="H101" i="2" s="1"/>
  <c r="K101" i="2" s="1"/>
  <c r="J101" i="2" s="1"/>
  <c r="G100" i="2"/>
  <c r="H100" i="2" s="1"/>
  <c r="K100" i="2" s="1"/>
  <c r="J100" i="2" s="1"/>
  <c r="G99" i="2"/>
  <c r="H99" i="2" s="1"/>
  <c r="K99" i="2" s="1"/>
  <c r="J99" i="2" s="1"/>
  <c r="G98" i="2"/>
  <c r="H98" i="2" s="1"/>
  <c r="K98" i="2" s="1"/>
  <c r="J98" i="2" s="1"/>
  <c r="G97" i="2"/>
  <c r="H97" i="2" s="1"/>
  <c r="K97" i="2" s="1"/>
  <c r="J97" i="2" s="1"/>
  <c r="G96" i="2"/>
  <c r="H96" i="2" s="1"/>
  <c r="K96" i="2" s="1"/>
  <c r="J96" i="2" s="1"/>
  <c r="G95" i="2"/>
  <c r="H95" i="2" s="1"/>
  <c r="K95" i="2" s="1"/>
  <c r="J95" i="2" s="1"/>
  <c r="G94" i="2"/>
  <c r="H94" i="2" s="1"/>
  <c r="K94" i="2" s="1"/>
  <c r="J94" i="2" s="1"/>
  <c r="G93" i="2"/>
  <c r="H93" i="2" s="1"/>
  <c r="K93" i="2" s="1"/>
  <c r="J93" i="2" s="1"/>
  <c r="G92" i="2"/>
  <c r="H92" i="2" s="1"/>
  <c r="K92" i="2" s="1"/>
  <c r="J92" i="2" s="1"/>
  <c r="G91" i="2"/>
  <c r="H91" i="2" s="1"/>
  <c r="K91" i="2" s="1"/>
  <c r="J91" i="2" s="1"/>
  <c r="G90" i="2"/>
  <c r="H90" i="2" s="1"/>
  <c r="K90" i="2" s="1"/>
  <c r="J90" i="2" s="1"/>
  <c r="G89" i="2"/>
  <c r="H89" i="2" s="1"/>
  <c r="K89" i="2" s="1"/>
  <c r="J89" i="2" s="1"/>
  <c r="G88" i="2"/>
  <c r="H88" i="2" s="1"/>
  <c r="K88" i="2" s="1"/>
  <c r="J88" i="2" s="1"/>
  <c r="G87" i="2"/>
  <c r="H87" i="2" s="1"/>
  <c r="K87" i="2" s="1"/>
  <c r="J87" i="2" s="1"/>
  <c r="G86" i="2"/>
  <c r="H86" i="2" s="1"/>
  <c r="K86" i="2" s="1"/>
  <c r="J86" i="2" s="1"/>
  <c r="G85" i="2"/>
  <c r="H85" i="2" s="1"/>
  <c r="K85" i="2" s="1"/>
  <c r="J85" i="2" s="1"/>
  <c r="G84" i="2"/>
  <c r="H84" i="2" s="1"/>
  <c r="K84" i="2" s="1"/>
  <c r="J84" i="2" s="1"/>
  <c r="G83" i="2"/>
  <c r="H83" i="2" s="1"/>
  <c r="K83" i="2" s="1"/>
  <c r="J83" i="2" s="1"/>
  <c r="G82" i="2"/>
  <c r="H82" i="2" s="1"/>
  <c r="K82" i="2" s="1"/>
  <c r="J82" i="2" s="1"/>
  <c r="G81" i="2"/>
  <c r="H81" i="2" s="1"/>
  <c r="K81" i="2" s="1"/>
  <c r="J81" i="2" s="1"/>
  <c r="G80" i="2"/>
  <c r="H80" i="2" s="1"/>
  <c r="K80" i="2" s="1"/>
  <c r="J80" i="2" s="1"/>
  <c r="G79" i="2"/>
  <c r="H79" i="2" s="1"/>
  <c r="K79" i="2" s="1"/>
  <c r="J79" i="2" s="1"/>
  <c r="G78" i="2"/>
  <c r="H78" i="2" s="1"/>
  <c r="K78" i="2" s="1"/>
  <c r="J78" i="2" s="1"/>
  <c r="H77" i="2"/>
  <c r="K77" i="2" s="1"/>
  <c r="J77" i="2" s="1"/>
  <c r="H76" i="2"/>
  <c r="K76" i="2" s="1"/>
  <c r="J76" i="2" s="1"/>
  <c r="G75" i="2"/>
  <c r="H75" i="2" s="1"/>
  <c r="K75" i="2" s="1"/>
  <c r="J75" i="2" s="1"/>
  <c r="G74" i="2"/>
  <c r="H74" i="2" s="1"/>
  <c r="K74" i="2" s="1"/>
  <c r="J74" i="2" s="1"/>
  <c r="G73" i="2"/>
  <c r="H73" i="2" s="1"/>
  <c r="K73" i="2" s="1"/>
  <c r="J73" i="2" s="1"/>
  <c r="G72" i="2"/>
  <c r="H72" i="2" s="1"/>
  <c r="K72" i="2" s="1"/>
  <c r="J72" i="2" s="1"/>
  <c r="G71" i="2"/>
  <c r="H71" i="2" s="1"/>
  <c r="K71" i="2" s="1"/>
  <c r="J71" i="2" s="1"/>
  <c r="G70" i="2"/>
  <c r="H70" i="2" s="1"/>
  <c r="K70" i="2" s="1"/>
  <c r="J70" i="2" s="1"/>
  <c r="G69" i="2"/>
  <c r="H69" i="2" s="1"/>
  <c r="K69" i="2" s="1"/>
  <c r="J69" i="2" s="1"/>
  <c r="G68" i="2"/>
  <c r="H68" i="2" s="1"/>
  <c r="K68" i="2" s="1"/>
  <c r="J68" i="2" s="1"/>
  <c r="J67" i="2"/>
  <c r="G67" i="2"/>
  <c r="H67" i="2" s="1"/>
  <c r="K67" i="2" s="1"/>
  <c r="G66" i="2"/>
  <c r="H66" i="2" s="1"/>
  <c r="K66" i="2" s="1"/>
  <c r="J66" i="2" s="1"/>
  <c r="J65" i="2"/>
  <c r="G65" i="2"/>
  <c r="H65" i="2" s="1"/>
  <c r="K65" i="2" s="1"/>
  <c r="G64" i="2"/>
  <c r="H64" i="2" s="1"/>
  <c r="K64" i="2" s="1"/>
  <c r="J64" i="2" s="1"/>
  <c r="J63" i="2"/>
  <c r="G63" i="2"/>
  <c r="H63" i="2" s="1"/>
  <c r="K63" i="2" s="1"/>
  <c r="G62" i="2"/>
  <c r="H62" i="2" s="1"/>
  <c r="K62" i="2" s="1"/>
  <c r="J62" i="2" s="1"/>
  <c r="J61" i="2"/>
  <c r="G61" i="2"/>
  <c r="H61" i="2" s="1"/>
  <c r="K61" i="2" s="1"/>
  <c r="G60" i="2"/>
  <c r="H60" i="2" s="1"/>
  <c r="K60" i="2" s="1"/>
  <c r="J60" i="2" s="1"/>
  <c r="G59" i="2"/>
  <c r="H59" i="2" s="1"/>
  <c r="K59" i="2" s="1"/>
  <c r="J59" i="2" s="1"/>
  <c r="G58" i="2"/>
  <c r="H58" i="2" s="1"/>
  <c r="K58" i="2" s="1"/>
  <c r="J58" i="2" s="1"/>
  <c r="G57" i="2"/>
  <c r="H57" i="2" s="1"/>
  <c r="K57" i="2" s="1"/>
  <c r="J57" i="2" s="1"/>
  <c r="H56" i="2"/>
  <c r="K56" i="2" s="1"/>
  <c r="J56" i="2" s="1"/>
  <c r="H55" i="2"/>
  <c r="K55" i="2" s="1"/>
  <c r="J55" i="2" s="1"/>
  <c r="G55" i="2"/>
  <c r="K54" i="2"/>
  <c r="J54" i="2" s="1"/>
  <c r="H54" i="2"/>
  <c r="G54" i="2"/>
  <c r="H53" i="2"/>
  <c r="K53" i="2" s="1"/>
  <c r="J53" i="2" s="1"/>
  <c r="G53" i="2"/>
  <c r="K52" i="2"/>
  <c r="J52" i="2" s="1"/>
  <c r="H52" i="2"/>
  <c r="G52" i="2"/>
  <c r="H51" i="2"/>
  <c r="K51" i="2" s="1"/>
  <c r="J51" i="2" s="1"/>
  <c r="G51" i="2"/>
  <c r="K50" i="2"/>
  <c r="J50" i="2" s="1"/>
  <c r="H50" i="2"/>
  <c r="G50" i="2"/>
  <c r="H49" i="2"/>
  <c r="K49" i="2" s="1"/>
  <c r="J49" i="2" s="1"/>
  <c r="G49" i="2"/>
  <c r="K48" i="2"/>
  <c r="J48" i="2" s="1"/>
  <c r="H48" i="2"/>
  <c r="G48" i="2"/>
  <c r="H47" i="2"/>
  <c r="K47" i="2" s="1"/>
  <c r="J47" i="2" s="1"/>
  <c r="G47" i="2"/>
  <c r="G46" i="2"/>
  <c r="H46" i="2" s="1"/>
  <c r="K46" i="2" s="1"/>
  <c r="J46" i="2" s="1"/>
  <c r="H45" i="2"/>
  <c r="K45" i="2" s="1"/>
  <c r="J45" i="2" s="1"/>
  <c r="G45" i="2"/>
  <c r="G44" i="2"/>
  <c r="H44" i="2" s="1"/>
  <c r="K44" i="2" s="1"/>
  <c r="J44" i="2" s="1"/>
  <c r="G43" i="2"/>
  <c r="H43" i="2" s="1"/>
  <c r="K43" i="2" s="1"/>
  <c r="J43" i="2" s="1"/>
  <c r="G42" i="2"/>
  <c r="H42" i="2" s="1"/>
  <c r="K42" i="2" s="1"/>
  <c r="J42" i="2" s="1"/>
  <c r="G41" i="2"/>
  <c r="H41" i="2" s="1"/>
  <c r="K41" i="2" s="1"/>
  <c r="J41" i="2" s="1"/>
  <c r="G40" i="2"/>
  <c r="H40" i="2" s="1"/>
  <c r="K40" i="2" s="1"/>
  <c r="J40" i="2" s="1"/>
  <c r="G39" i="2"/>
  <c r="H39" i="2" s="1"/>
  <c r="K39" i="2" s="1"/>
  <c r="J39" i="2" s="1"/>
  <c r="G38" i="2"/>
  <c r="H38" i="2" s="1"/>
  <c r="K38" i="2" s="1"/>
  <c r="J38" i="2" s="1"/>
  <c r="G37" i="2"/>
  <c r="H37" i="2" s="1"/>
  <c r="K37" i="2" s="1"/>
  <c r="J37" i="2" s="1"/>
  <c r="G36" i="2"/>
  <c r="H36" i="2" s="1"/>
  <c r="K36" i="2" s="1"/>
  <c r="J36" i="2" s="1"/>
  <c r="G35" i="2"/>
  <c r="H35" i="2" s="1"/>
  <c r="K35" i="2" s="1"/>
  <c r="J35" i="2" s="1"/>
  <c r="G34" i="2"/>
  <c r="H34" i="2" s="1"/>
  <c r="K34" i="2" s="1"/>
  <c r="J34" i="2" s="1"/>
  <c r="G33" i="2"/>
  <c r="H33" i="2" s="1"/>
  <c r="K33" i="2" s="1"/>
  <c r="J33" i="2" s="1"/>
  <c r="G32" i="2"/>
  <c r="H32" i="2" s="1"/>
  <c r="K32" i="2" s="1"/>
  <c r="J32" i="2" s="1"/>
  <c r="G31" i="2"/>
  <c r="H31" i="2" s="1"/>
  <c r="K31" i="2" s="1"/>
  <c r="J31" i="2" s="1"/>
  <c r="G30" i="2"/>
  <c r="H30" i="2" s="1"/>
  <c r="K30" i="2" s="1"/>
  <c r="J30" i="2" s="1"/>
  <c r="G29" i="2"/>
  <c r="H29" i="2" s="1"/>
  <c r="K29" i="2" s="1"/>
  <c r="J29" i="2" s="1"/>
  <c r="G28" i="2"/>
  <c r="H28" i="2" s="1"/>
  <c r="K28" i="2" s="1"/>
  <c r="J28" i="2" s="1"/>
  <c r="G27" i="2"/>
  <c r="H27" i="2" s="1"/>
  <c r="K27" i="2" s="1"/>
  <c r="J27" i="2" s="1"/>
  <c r="G26" i="2"/>
  <c r="H26" i="2" s="1"/>
  <c r="K26" i="2" s="1"/>
  <c r="J26" i="2" s="1"/>
  <c r="G25" i="2"/>
  <c r="H25" i="2" s="1"/>
  <c r="K25" i="2" s="1"/>
  <c r="J25" i="2" s="1"/>
  <c r="G24" i="2"/>
  <c r="H24" i="2" s="1"/>
  <c r="K24" i="2" s="1"/>
  <c r="J24" i="2" s="1"/>
  <c r="G23" i="2"/>
  <c r="H23" i="2" s="1"/>
  <c r="K23" i="2" s="1"/>
  <c r="J23" i="2" s="1"/>
  <c r="G22" i="2"/>
  <c r="H22" i="2" s="1"/>
  <c r="K22" i="2" s="1"/>
  <c r="J22" i="2" s="1"/>
  <c r="G21" i="2"/>
  <c r="H21" i="2" s="1"/>
  <c r="K21" i="2" s="1"/>
  <c r="J21" i="2" s="1"/>
  <c r="G20" i="2"/>
  <c r="H20" i="2" s="1"/>
  <c r="K20" i="2" s="1"/>
  <c r="J20" i="2" s="1"/>
  <c r="G19" i="2"/>
  <c r="H19" i="2" s="1"/>
  <c r="K19" i="2" s="1"/>
  <c r="J19" i="2" s="1"/>
  <c r="G18" i="2"/>
  <c r="H18" i="2" s="1"/>
  <c r="K18" i="2" s="1"/>
  <c r="J18" i="2" s="1"/>
  <c r="G17" i="2"/>
  <c r="H17" i="2" s="1"/>
  <c r="K17" i="2" s="1"/>
  <c r="J17" i="2" s="1"/>
  <c r="G16" i="2"/>
  <c r="H16" i="2" s="1"/>
  <c r="K16" i="2" s="1"/>
  <c r="J16" i="2" s="1"/>
  <c r="K15" i="2"/>
  <c r="J15" i="2"/>
  <c r="H15" i="2"/>
  <c r="K14" i="2"/>
  <c r="J14" i="2" s="1"/>
  <c r="H14" i="2"/>
  <c r="G14" i="2"/>
  <c r="K13" i="2"/>
  <c r="J13" i="2" s="1"/>
  <c r="H13" i="2"/>
  <c r="G13" i="2"/>
  <c r="K12" i="2"/>
  <c r="J12" i="2" s="1"/>
  <c r="H12" i="2"/>
  <c r="G12" i="2"/>
  <c r="K11" i="2"/>
  <c r="J11" i="2" s="1"/>
  <c r="H11" i="2"/>
  <c r="G11" i="2"/>
  <c r="S412" i="1"/>
  <c r="T412" i="1" s="1"/>
  <c r="H412" i="1"/>
  <c r="I412" i="1" s="1"/>
  <c r="L412" i="1" s="1"/>
  <c r="K412" i="1" s="1"/>
  <c r="S411" i="1"/>
  <c r="T411" i="1" s="1"/>
  <c r="H411" i="1"/>
  <c r="I411" i="1" s="1"/>
  <c r="L411" i="1" s="1"/>
  <c r="K411" i="1" s="1"/>
  <c r="S410" i="1"/>
  <c r="T410" i="1" s="1"/>
  <c r="H410" i="1"/>
  <c r="I410" i="1" s="1"/>
  <c r="L410" i="1" s="1"/>
  <c r="K410" i="1" s="1"/>
  <c r="S409" i="1"/>
  <c r="T409" i="1" s="1"/>
  <c r="H409" i="1"/>
  <c r="I409" i="1" s="1"/>
  <c r="L409" i="1" s="1"/>
  <c r="K409" i="1" s="1"/>
  <c r="S408" i="1"/>
  <c r="T408" i="1" s="1"/>
  <c r="H408" i="1"/>
  <c r="I408" i="1" s="1"/>
  <c r="L408" i="1" s="1"/>
  <c r="K408" i="1" s="1"/>
  <c r="S407" i="1"/>
  <c r="T407" i="1" s="1"/>
  <c r="H407" i="1"/>
  <c r="I407" i="1" s="1"/>
  <c r="L407" i="1" s="1"/>
  <c r="K407" i="1" s="1"/>
  <c r="S406" i="1"/>
  <c r="T406" i="1" s="1"/>
  <c r="H406" i="1"/>
  <c r="I406" i="1" s="1"/>
  <c r="L406" i="1" s="1"/>
  <c r="K406" i="1" s="1"/>
  <c r="S405" i="1"/>
  <c r="T405" i="1" s="1"/>
  <c r="O405" i="1"/>
  <c r="H405" i="1"/>
  <c r="I405" i="1" s="1"/>
  <c r="L405" i="1" s="1"/>
  <c r="K405" i="1" s="1"/>
  <c r="S404" i="1"/>
  <c r="T404" i="1" s="1"/>
  <c r="H404" i="1"/>
  <c r="I404" i="1" s="1"/>
  <c r="L404" i="1" s="1"/>
  <c r="K404" i="1" s="1"/>
  <c r="S403" i="1"/>
  <c r="T403" i="1" s="1"/>
  <c r="I403" i="1"/>
  <c r="L403" i="1" s="1"/>
  <c r="K403" i="1" s="1"/>
  <c r="H403" i="1"/>
  <c r="T402" i="1"/>
  <c r="S402" i="1"/>
  <c r="I402" i="1"/>
  <c r="L402" i="1" s="1"/>
  <c r="K402" i="1" s="1"/>
  <c r="H402" i="1"/>
  <c r="T401" i="1"/>
  <c r="S401" i="1"/>
  <c r="H401" i="1"/>
  <c r="I401" i="1" s="1"/>
  <c r="L401" i="1" s="1"/>
  <c r="K401" i="1" s="1"/>
  <c r="S400" i="1"/>
  <c r="T400" i="1" s="1"/>
  <c r="H400" i="1"/>
  <c r="I400" i="1" s="1"/>
  <c r="L400" i="1" s="1"/>
  <c r="K400" i="1" s="1"/>
  <c r="S399" i="1"/>
  <c r="T399" i="1" s="1"/>
  <c r="I399" i="1"/>
  <c r="L399" i="1" s="1"/>
  <c r="K399" i="1" s="1"/>
  <c r="H399" i="1"/>
  <c r="T398" i="1"/>
  <c r="S398" i="1"/>
  <c r="I398" i="1"/>
  <c r="L398" i="1" s="1"/>
  <c r="K398" i="1" s="1"/>
  <c r="H398" i="1"/>
  <c r="T397" i="1"/>
  <c r="S397" i="1"/>
  <c r="H397" i="1"/>
  <c r="I397" i="1" s="1"/>
  <c r="L397" i="1" s="1"/>
  <c r="K397" i="1" s="1"/>
  <c r="S396" i="1"/>
  <c r="T396" i="1" s="1"/>
  <c r="H396" i="1"/>
  <c r="I396" i="1" s="1"/>
  <c r="L396" i="1" s="1"/>
  <c r="K396" i="1" s="1"/>
  <c r="S395" i="1"/>
  <c r="T395" i="1" s="1"/>
  <c r="I395" i="1"/>
  <c r="L395" i="1" s="1"/>
  <c r="K395" i="1" s="1"/>
  <c r="H395" i="1"/>
  <c r="T394" i="1"/>
  <c r="S394" i="1"/>
  <c r="I394" i="1"/>
  <c r="L394" i="1" s="1"/>
  <c r="K394" i="1" s="1"/>
  <c r="H394" i="1"/>
  <c r="T393" i="1"/>
  <c r="S393" i="1"/>
  <c r="H393" i="1"/>
  <c r="I393" i="1" s="1"/>
  <c r="L393" i="1" s="1"/>
  <c r="K393" i="1" s="1"/>
  <c r="T392" i="1"/>
  <c r="S392" i="1"/>
  <c r="H392" i="1"/>
  <c r="I392" i="1" s="1"/>
  <c r="L392" i="1" s="1"/>
  <c r="K392" i="1" s="1"/>
  <c r="S391" i="1"/>
  <c r="T391" i="1" s="1"/>
  <c r="H391" i="1"/>
  <c r="I391" i="1" s="1"/>
  <c r="L391" i="1" s="1"/>
  <c r="K391" i="1" s="1"/>
  <c r="S390" i="1"/>
  <c r="T390" i="1" s="1"/>
  <c r="H390" i="1"/>
  <c r="I390" i="1" s="1"/>
  <c r="L390" i="1" s="1"/>
  <c r="K390" i="1" s="1"/>
  <c r="S389" i="1"/>
  <c r="T389" i="1" s="1"/>
  <c r="H389" i="1"/>
  <c r="I389" i="1" s="1"/>
  <c r="L389" i="1" s="1"/>
  <c r="K389" i="1" s="1"/>
  <c r="AK388" i="1"/>
  <c r="AA388" i="1"/>
  <c r="W388" i="1"/>
  <c r="X388" i="1" s="1"/>
  <c r="T388" i="1"/>
  <c r="H388" i="1"/>
  <c r="I388" i="1" s="1"/>
  <c r="L388" i="1" s="1"/>
  <c r="K388" i="1" s="1"/>
  <c r="AK387" i="1"/>
  <c r="AA387" i="1"/>
  <c r="W387" i="1"/>
  <c r="X387" i="1" s="1"/>
  <c r="T387" i="1"/>
  <c r="H387" i="1"/>
  <c r="I387" i="1" s="1"/>
  <c r="L387" i="1" s="1"/>
  <c r="K387" i="1" s="1"/>
  <c r="AK386" i="1"/>
  <c r="AA386" i="1"/>
  <c r="W386" i="1"/>
  <c r="X386" i="1" s="1"/>
  <c r="T386" i="1"/>
  <c r="H386" i="1"/>
  <c r="I386" i="1" s="1"/>
  <c r="L386" i="1" s="1"/>
  <c r="K386" i="1" s="1"/>
  <c r="AK385" i="1"/>
  <c r="AA385" i="1"/>
  <c r="W385" i="1"/>
  <c r="X385" i="1" s="1"/>
  <c r="T385" i="1"/>
  <c r="I385" i="1"/>
  <c r="L385" i="1" s="1"/>
  <c r="K385" i="1" s="1"/>
  <c r="H385" i="1"/>
  <c r="AK384" i="1"/>
  <c r="AA384" i="1"/>
  <c r="X384" i="1"/>
  <c r="W384" i="1"/>
  <c r="T384" i="1"/>
  <c r="I384" i="1"/>
  <c r="L384" i="1" s="1"/>
  <c r="K384" i="1" s="1"/>
  <c r="H384" i="1"/>
  <c r="AK383" i="1"/>
  <c r="AA383" i="1"/>
  <c r="X383" i="1"/>
  <c r="W383" i="1"/>
  <c r="T383" i="1"/>
  <c r="H383" i="1"/>
  <c r="I383" i="1" s="1"/>
  <c r="L383" i="1" s="1"/>
  <c r="K383" i="1" s="1"/>
  <c r="AK382" i="1"/>
  <c r="AA382" i="1"/>
  <c r="W382" i="1"/>
  <c r="X382" i="1" s="1"/>
  <c r="T382" i="1"/>
  <c r="I382" i="1"/>
  <c r="L382" i="1" s="1"/>
  <c r="K382" i="1" s="1"/>
  <c r="H382" i="1"/>
  <c r="AK381" i="1"/>
  <c r="AA381" i="1"/>
  <c r="X381" i="1"/>
  <c r="W381" i="1"/>
  <c r="T381" i="1"/>
  <c r="H381" i="1"/>
  <c r="I381" i="1" s="1"/>
  <c r="L381" i="1" s="1"/>
  <c r="K381" i="1" s="1"/>
  <c r="AK380" i="1"/>
  <c r="AA380" i="1"/>
  <c r="W380" i="1"/>
  <c r="X380" i="1" s="1"/>
  <c r="T380" i="1"/>
  <c r="H380" i="1"/>
  <c r="I380" i="1" s="1"/>
  <c r="L380" i="1" s="1"/>
  <c r="K380" i="1" s="1"/>
  <c r="AK379" i="1"/>
  <c r="AA379" i="1"/>
  <c r="W379" i="1"/>
  <c r="X379" i="1" s="1"/>
  <c r="T379" i="1"/>
  <c r="H379" i="1"/>
  <c r="I379" i="1" s="1"/>
  <c r="L379" i="1" s="1"/>
  <c r="K379" i="1" s="1"/>
  <c r="AH378" i="1"/>
  <c r="AK378" i="1" s="1"/>
  <c r="AF378" i="1"/>
  <c r="AA378" i="1"/>
  <c r="W378" i="1"/>
  <c r="X378" i="1" s="1"/>
  <c r="S378" i="1"/>
  <c r="T378" i="1" s="1"/>
  <c r="O378" i="1"/>
  <c r="H378" i="1"/>
  <c r="I378" i="1" s="1"/>
  <c r="L378" i="1" s="1"/>
  <c r="K378" i="1" s="1"/>
  <c r="AK377" i="1"/>
  <c r="AA377" i="1"/>
  <c r="W377" i="1"/>
  <c r="X377" i="1" s="1"/>
  <c r="T377" i="1"/>
  <c r="Q377" i="1"/>
  <c r="I377" i="1"/>
  <c r="L377" i="1" s="1"/>
  <c r="K377" i="1" s="1"/>
  <c r="H377" i="1"/>
  <c r="AK376" i="1"/>
  <c r="AA376" i="1"/>
  <c r="X376" i="1"/>
  <c r="W376" i="1"/>
  <c r="T376" i="1"/>
  <c r="H376" i="1"/>
  <c r="I376" i="1" s="1"/>
  <c r="L376" i="1" s="1"/>
  <c r="K376" i="1" s="1"/>
  <c r="AK375" i="1"/>
  <c r="AA375" i="1"/>
  <c r="W375" i="1"/>
  <c r="X375" i="1" s="1"/>
  <c r="T375" i="1"/>
  <c r="I375" i="1"/>
  <c r="L375" i="1" s="1"/>
  <c r="K375" i="1" s="1"/>
  <c r="H375" i="1"/>
  <c r="AK374" i="1"/>
  <c r="AA374" i="1"/>
  <c r="X374" i="1"/>
  <c r="W374" i="1"/>
  <c r="T374" i="1"/>
  <c r="O374" i="1"/>
  <c r="H374" i="1"/>
  <c r="I374" i="1" s="1"/>
  <c r="L374" i="1" s="1"/>
  <c r="K374" i="1" s="1"/>
  <c r="AK373" i="1"/>
  <c r="AA373" i="1"/>
  <c r="W373" i="1"/>
  <c r="X373" i="1" s="1"/>
  <c r="T373" i="1"/>
  <c r="H373" i="1"/>
  <c r="I373" i="1" s="1"/>
  <c r="L373" i="1" s="1"/>
  <c r="K373" i="1" s="1"/>
  <c r="AK372" i="1"/>
  <c r="AA372" i="1"/>
  <c r="W372" i="1"/>
  <c r="X372" i="1" s="1"/>
  <c r="T372" i="1"/>
  <c r="H372" i="1"/>
  <c r="I372" i="1" s="1"/>
  <c r="L372" i="1" s="1"/>
  <c r="K372" i="1" s="1"/>
  <c r="AK371" i="1"/>
  <c r="AA371" i="1"/>
  <c r="W371" i="1"/>
  <c r="X371" i="1" s="1"/>
  <c r="T371" i="1"/>
  <c r="I371" i="1"/>
  <c r="L371" i="1" s="1"/>
  <c r="K371" i="1" s="1"/>
  <c r="H371" i="1"/>
  <c r="AK370" i="1"/>
  <c r="AA370" i="1"/>
  <c r="X370" i="1"/>
  <c r="W370" i="1"/>
  <c r="T370" i="1"/>
  <c r="I370" i="1"/>
  <c r="L370" i="1" s="1"/>
  <c r="K370" i="1" s="1"/>
  <c r="H370" i="1"/>
  <c r="AK369" i="1"/>
  <c r="AA369" i="1"/>
  <c r="X369" i="1"/>
  <c r="W369" i="1"/>
  <c r="T369" i="1"/>
  <c r="H369" i="1"/>
  <c r="I369" i="1" s="1"/>
  <c r="L369" i="1" s="1"/>
  <c r="K369" i="1" s="1"/>
  <c r="AK368" i="1"/>
  <c r="AA368" i="1"/>
  <c r="W368" i="1"/>
  <c r="X368" i="1" s="1"/>
  <c r="T368" i="1"/>
  <c r="I368" i="1"/>
  <c r="L368" i="1" s="1"/>
  <c r="K368" i="1" s="1"/>
  <c r="H368" i="1"/>
  <c r="AK367" i="1"/>
  <c r="AA367" i="1"/>
  <c r="X367" i="1"/>
  <c r="W367" i="1"/>
  <c r="T367" i="1"/>
  <c r="H367" i="1"/>
  <c r="I367" i="1" s="1"/>
  <c r="L367" i="1" s="1"/>
  <c r="K367" i="1" s="1"/>
  <c r="AK366" i="1"/>
  <c r="AA366" i="1"/>
  <c r="X366" i="1"/>
  <c r="T366" i="1"/>
  <c r="H366" i="1"/>
  <c r="I366" i="1" s="1"/>
  <c r="L366" i="1" s="1"/>
  <c r="K366" i="1" s="1"/>
  <c r="AK365" i="1"/>
  <c r="AM392" i="1" s="1"/>
  <c r="AA365" i="1"/>
  <c r="W365" i="1"/>
  <c r="X365" i="1" s="1"/>
  <c r="T365" i="1"/>
  <c r="L365" i="1"/>
  <c r="K365" i="1" s="1"/>
  <c r="I365" i="1"/>
  <c r="T364" i="1"/>
  <c r="I364" i="1"/>
  <c r="L364" i="1" s="1"/>
  <c r="K364" i="1" s="1"/>
  <c r="H364" i="1"/>
  <c r="AK363" i="1"/>
  <c r="AA363" i="1"/>
  <c r="X363" i="1"/>
  <c r="W363" i="1"/>
  <c r="T363" i="1"/>
  <c r="H363" i="1"/>
  <c r="I363" i="1" s="1"/>
  <c r="L363" i="1" s="1"/>
  <c r="K363" i="1" s="1"/>
  <c r="AK362" i="1"/>
  <c r="AA362" i="1"/>
  <c r="W362" i="1"/>
  <c r="X362" i="1" s="1"/>
  <c r="T362" i="1"/>
  <c r="I362" i="1"/>
  <c r="L362" i="1" s="1"/>
  <c r="K362" i="1" s="1"/>
  <c r="H362" i="1"/>
  <c r="AK361" i="1"/>
  <c r="AA361" i="1"/>
  <c r="X361" i="1"/>
  <c r="W361" i="1"/>
  <c r="T361" i="1"/>
  <c r="H361" i="1"/>
  <c r="I361" i="1" s="1"/>
  <c r="L361" i="1" s="1"/>
  <c r="K361" i="1" s="1"/>
  <c r="AK360" i="1"/>
  <c r="AA360" i="1"/>
  <c r="W360" i="1"/>
  <c r="X360" i="1" s="1"/>
  <c r="T360" i="1"/>
  <c r="H360" i="1"/>
  <c r="I360" i="1" s="1"/>
  <c r="L360" i="1" s="1"/>
  <c r="K360" i="1" s="1"/>
  <c r="AK359" i="1"/>
  <c r="AA359" i="1"/>
  <c r="W359" i="1"/>
  <c r="X359" i="1" s="1"/>
  <c r="T359" i="1"/>
  <c r="H359" i="1"/>
  <c r="I359" i="1" s="1"/>
  <c r="L359" i="1" s="1"/>
  <c r="K359" i="1" s="1"/>
  <c r="AH358" i="1"/>
  <c r="AK358" i="1" s="1"/>
  <c r="AF358" i="1"/>
  <c r="AA358" i="1"/>
  <c r="W358" i="1"/>
  <c r="X358" i="1" s="1"/>
  <c r="T358" i="1"/>
  <c r="H358" i="1"/>
  <c r="I358" i="1" s="1"/>
  <c r="L358" i="1" s="1"/>
  <c r="K358" i="1" s="1"/>
  <c r="AK357" i="1"/>
  <c r="AA357" i="1"/>
  <c r="W357" i="1"/>
  <c r="X357" i="1" s="1"/>
  <c r="T357" i="1"/>
  <c r="H357" i="1"/>
  <c r="I357" i="1" s="1"/>
  <c r="L357" i="1" s="1"/>
  <c r="K357" i="1" s="1"/>
  <c r="T356" i="1"/>
  <c r="Q356" i="1"/>
  <c r="H356" i="1"/>
  <c r="I356" i="1" s="1"/>
  <c r="L356" i="1" s="1"/>
  <c r="K356" i="1" s="1"/>
  <c r="AK355" i="1"/>
  <c r="AA355" i="1"/>
  <c r="W355" i="1"/>
  <c r="X355" i="1" s="1"/>
  <c r="T355" i="1"/>
  <c r="H355" i="1"/>
  <c r="I355" i="1" s="1"/>
  <c r="L355" i="1" s="1"/>
  <c r="K355" i="1" s="1"/>
  <c r="AK354" i="1"/>
  <c r="AA354" i="1"/>
  <c r="X354" i="1"/>
  <c r="T354" i="1"/>
  <c r="I354" i="1"/>
  <c r="L354" i="1" s="1"/>
  <c r="K354" i="1" s="1"/>
  <c r="H354" i="1"/>
  <c r="AK353" i="1"/>
  <c r="AA353" i="1"/>
  <c r="X353" i="1"/>
  <c r="W353" i="1"/>
  <c r="T353" i="1"/>
  <c r="H353" i="1"/>
  <c r="I353" i="1" s="1"/>
  <c r="L353" i="1" s="1"/>
  <c r="K353" i="1" s="1"/>
  <c r="T352" i="1"/>
  <c r="H352" i="1"/>
  <c r="I352" i="1" s="1"/>
  <c r="L352" i="1" s="1"/>
  <c r="K352" i="1" s="1"/>
  <c r="T351" i="1"/>
  <c r="I351" i="1"/>
  <c r="L351" i="1" s="1"/>
  <c r="K351" i="1" s="1"/>
  <c r="H351" i="1"/>
  <c r="T350" i="1"/>
  <c r="I350" i="1"/>
  <c r="L350" i="1" s="1"/>
  <c r="K350" i="1" s="1"/>
  <c r="H350" i="1"/>
  <c r="T349" i="1"/>
  <c r="H349" i="1"/>
  <c r="I349" i="1" s="1"/>
  <c r="L349" i="1" s="1"/>
  <c r="K349" i="1" s="1"/>
  <c r="AK348" i="1"/>
  <c r="AA348" i="1"/>
  <c r="W348" i="1"/>
  <c r="X348" i="1" s="1"/>
  <c r="T348" i="1"/>
  <c r="I348" i="1"/>
  <c r="L348" i="1" s="1"/>
  <c r="K348" i="1" s="1"/>
  <c r="H348" i="1"/>
  <c r="AK347" i="1"/>
  <c r="AA347" i="1"/>
  <c r="X347" i="1"/>
  <c r="W347" i="1"/>
  <c r="T347" i="1"/>
  <c r="H347" i="1"/>
  <c r="I347" i="1" s="1"/>
  <c r="L347" i="1" s="1"/>
  <c r="K347" i="1" s="1"/>
  <c r="AK346" i="1"/>
  <c r="AA346" i="1"/>
  <c r="W346" i="1"/>
  <c r="X346" i="1" s="1"/>
  <c r="T346" i="1"/>
  <c r="H346" i="1"/>
  <c r="I346" i="1" s="1"/>
  <c r="L346" i="1" s="1"/>
  <c r="K346" i="1" s="1"/>
  <c r="AK345" i="1"/>
  <c r="AA345" i="1"/>
  <c r="X345" i="1"/>
  <c r="T345" i="1"/>
  <c r="I345" i="1"/>
  <c r="L345" i="1" s="1"/>
  <c r="K345" i="1" s="1"/>
  <c r="AK344" i="1"/>
  <c r="AA344" i="1"/>
  <c r="W344" i="1"/>
  <c r="X344" i="1" s="1"/>
  <c r="T344" i="1"/>
  <c r="L344" i="1"/>
  <c r="K344" i="1" s="1"/>
  <c r="H344" i="1"/>
  <c r="I344" i="1" s="1"/>
  <c r="AK343" i="1"/>
  <c r="AA343" i="1"/>
  <c r="W343" i="1"/>
  <c r="X343" i="1" s="1"/>
  <c r="T343" i="1"/>
  <c r="H343" i="1"/>
  <c r="I343" i="1" s="1"/>
  <c r="L343" i="1" s="1"/>
  <c r="K343" i="1" s="1"/>
  <c r="AK342" i="1"/>
  <c r="AA342" i="1"/>
  <c r="W342" i="1"/>
  <c r="X342" i="1" s="1"/>
  <c r="T342" i="1"/>
  <c r="H342" i="1"/>
  <c r="I342" i="1" s="1"/>
  <c r="L342" i="1" s="1"/>
  <c r="K342" i="1" s="1"/>
  <c r="AK341" i="1"/>
  <c r="AA341" i="1"/>
  <c r="W341" i="1"/>
  <c r="X341" i="1" s="1"/>
  <c r="T341" i="1"/>
  <c r="I341" i="1"/>
  <c r="L341" i="1" s="1"/>
  <c r="K341" i="1" s="1"/>
  <c r="H341" i="1"/>
  <c r="AK340" i="1"/>
  <c r="AA340" i="1"/>
  <c r="X340" i="1"/>
  <c r="W340" i="1"/>
  <c r="T340" i="1"/>
  <c r="I340" i="1"/>
  <c r="L340" i="1" s="1"/>
  <c r="K340" i="1" s="1"/>
  <c r="H340" i="1"/>
  <c r="AK339" i="1"/>
  <c r="AA339" i="1"/>
  <c r="W339" i="1"/>
  <c r="X339" i="1" s="1"/>
  <c r="T339" i="1"/>
  <c r="H339" i="1"/>
  <c r="I339" i="1" s="1"/>
  <c r="L339" i="1" s="1"/>
  <c r="K339" i="1" s="1"/>
  <c r="AK338" i="1"/>
  <c r="AA338" i="1"/>
  <c r="W338" i="1"/>
  <c r="X338" i="1" s="1"/>
  <c r="T338" i="1"/>
  <c r="H338" i="1"/>
  <c r="I338" i="1" s="1"/>
  <c r="L338" i="1" s="1"/>
  <c r="K338" i="1" s="1"/>
  <c r="AK337" i="1"/>
  <c r="AA337" i="1"/>
  <c r="W337" i="1"/>
  <c r="X337" i="1" s="1"/>
  <c r="T337" i="1"/>
  <c r="O337" i="1"/>
  <c r="H337" i="1" s="1"/>
  <c r="I337" i="1" s="1"/>
  <c r="L337" i="1" s="1"/>
  <c r="K337" i="1" s="1"/>
  <c r="AK336" i="1"/>
  <c r="AA336" i="1"/>
  <c r="W336" i="1"/>
  <c r="X336" i="1" s="1"/>
  <c r="T336" i="1"/>
  <c r="H336" i="1"/>
  <c r="I336" i="1" s="1"/>
  <c r="L336" i="1" s="1"/>
  <c r="K336" i="1" s="1"/>
  <c r="AK335" i="1"/>
  <c r="AA335" i="1"/>
  <c r="W335" i="1"/>
  <c r="X335" i="1" s="1"/>
  <c r="T335" i="1"/>
  <c r="H335" i="1"/>
  <c r="I335" i="1" s="1"/>
  <c r="L335" i="1" s="1"/>
  <c r="K335" i="1" s="1"/>
  <c r="AK334" i="1"/>
  <c r="AA334" i="1"/>
  <c r="W334" i="1"/>
  <c r="X334" i="1" s="1"/>
  <c r="T334" i="1"/>
  <c r="H334" i="1"/>
  <c r="I334" i="1" s="1"/>
  <c r="L334" i="1" s="1"/>
  <c r="K334" i="1" s="1"/>
  <c r="AK333" i="1"/>
  <c r="AA333" i="1"/>
  <c r="W333" i="1"/>
  <c r="X333" i="1" s="1"/>
  <c r="T333" i="1"/>
  <c r="Q333" i="1"/>
  <c r="H333" i="1"/>
  <c r="I333" i="1" s="1"/>
  <c r="L333" i="1" s="1"/>
  <c r="K333" i="1" s="1"/>
  <c r="AK332" i="1"/>
  <c r="AA332" i="1"/>
  <c r="W332" i="1"/>
  <c r="X332" i="1" s="1"/>
  <c r="T332" i="1"/>
  <c r="H332" i="1"/>
  <c r="I332" i="1" s="1"/>
  <c r="L332" i="1" s="1"/>
  <c r="K332" i="1" s="1"/>
  <c r="AK331" i="1"/>
  <c r="AA331" i="1"/>
  <c r="W331" i="1"/>
  <c r="X331" i="1" s="1"/>
  <c r="T331" i="1"/>
  <c r="H331" i="1"/>
  <c r="I331" i="1" s="1"/>
  <c r="L331" i="1" s="1"/>
  <c r="K331" i="1" s="1"/>
  <c r="T330" i="1"/>
  <c r="O330" i="1"/>
  <c r="H330" i="1" s="1"/>
  <c r="I330" i="1" s="1"/>
  <c r="L330" i="1" s="1"/>
  <c r="K330" i="1" s="1"/>
  <c r="AK329" i="1"/>
  <c r="AH329" i="1"/>
  <c r="AA329" i="1"/>
  <c r="W329" i="1"/>
  <c r="X329" i="1" s="1"/>
  <c r="T329" i="1"/>
  <c r="I329" i="1"/>
  <c r="L329" i="1" s="1"/>
  <c r="K329" i="1" s="1"/>
  <c r="H329" i="1"/>
  <c r="AK328" i="1"/>
  <c r="AA328" i="1"/>
  <c r="X328" i="1"/>
  <c r="W328" i="1"/>
  <c r="T328" i="1"/>
  <c r="H328" i="1"/>
  <c r="I328" i="1" s="1"/>
  <c r="L328" i="1" s="1"/>
  <c r="K328" i="1" s="1"/>
  <c r="AK327" i="1"/>
  <c r="AA327" i="1"/>
  <c r="W327" i="1"/>
  <c r="X327" i="1" s="1"/>
  <c r="T327" i="1"/>
  <c r="L327" i="1"/>
  <c r="K327" i="1" s="1"/>
  <c r="H327" i="1"/>
  <c r="I327" i="1" s="1"/>
  <c r="AK326" i="1"/>
  <c r="AA326" i="1"/>
  <c r="W326" i="1"/>
  <c r="X326" i="1" s="1"/>
  <c r="T326" i="1"/>
  <c r="H326" i="1"/>
  <c r="I326" i="1" s="1"/>
  <c r="L326" i="1" s="1"/>
  <c r="K326" i="1" s="1"/>
  <c r="AK325" i="1"/>
  <c r="AA325" i="1"/>
  <c r="W325" i="1"/>
  <c r="X325" i="1" s="1"/>
  <c r="T325" i="1"/>
  <c r="H325" i="1"/>
  <c r="I325" i="1" s="1"/>
  <c r="L325" i="1" s="1"/>
  <c r="K325" i="1" s="1"/>
  <c r="AK324" i="1"/>
  <c r="AA324" i="1"/>
  <c r="W324" i="1"/>
  <c r="X324" i="1" s="1"/>
  <c r="T324" i="1"/>
  <c r="L324" i="1"/>
  <c r="K324" i="1" s="1"/>
  <c r="I324" i="1"/>
  <c r="H324" i="1"/>
  <c r="AK323" i="1"/>
  <c r="AA323" i="1"/>
  <c r="X323" i="1"/>
  <c r="W323" i="1"/>
  <c r="T323" i="1"/>
  <c r="H323" i="1"/>
  <c r="I323" i="1" s="1"/>
  <c r="L323" i="1" s="1"/>
  <c r="K323" i="1" s="1"/>
  <c r="AK322" i="1"/>
  <c r="AA322" i="1"/>
  <c r="W322" i="1"/>
  <c r="X322" i="1" s="1"/>
  <c r="T322" i="1"/>
  <c r="I322" i="1"/>
  <c r="L322" i="1" s="1"/>
  <c r="K322" i="1" s="1"/>
  <c r="H322" i="1"/>
  <c r="AK321" i="1"/>
  <c r="AA321" i="1"/>
  <c r="X321" i="1"/>
  <c r="W321" i="1"/>
  <c r="T321" i="1"/>
  <c r="H321" i="1"/>
  <c r="I321" i="1" s="1"/>
  <c r="L321" i="1" s="1"/>
  <c r="K321" i="1" s="1"/>
  <c r="AK320" i="1"/>
  <c r="AA320" i="1"/>
  <c r="W320" i="1"/>
  <c r="X320" i="1" s="1"/>
  <c r="T320" i="1"/>
  <c r="I320" i="1"/>
  <c r="L320" i="1" s="1"/>
  <c r="K320" i="1" s="1"/>
  <c r="H320" i="1"/>
  <c r="AK319" i="1"/>
  <c r="AA319" i="1"/>
  <c r="X319" i="1"/>
  <c r="W319" i="1"/>
  <c r="T319" i="1"/>
  <c r="H319" i="1"/>
  <c r="I319" i="1" s="1"/>
  <c r="L319" i="1" s="1"/>
  <c r="K319" i="1" s="1"/>
  <c r="AK318" i="1"/>
  <c r="AA318" i="1"/>
  <c r="W318" i="1"/>
  <c r="X318" i="1" s="1"/>
  <c r="T318" i="1"/>
  <c r="H318" i="1"/>
  <c r="I318" i="1" s="1"/>
  <c r="L318" i="1" s="1"/>
  <c r="K318" i="1" s="1"/>
  <c r="AK317" i="1"/>
  <c r="AA317" i="1"/>
  <c r="W317" i="1"/>
  <c r="X317" i="1" s="1"/>
  <c r="T317" i="1"/>
  <c r="H317" i="1"/>
  <c r="I317" i="1" s="1"/>
  <c r="L317" i="1" s="1"/>
  <c r="K317" i="1" s="1"/>
  <c r="AK316" i="1"/>
  <c r="AA316" i="1"/>
  <c r="W316" i="1"/>
  <c r="X316" i="1" s="1"/>
  <c r="T316" i="1"/>
  <c r="H316" i="1"/>
  <c r="I316" i="1" s="1"/>
  <c r="L316" i="1" s="1"/>
  <c r="K316" i="1" s="1"/>
  <c r="AK315" i="1"/>
  <c r="AA315" i="1"/>
  <c r="W315" i="1"/>
  <c r="X315" i="1" s="1"/>
  <c r="T315" i="1"/>
  <c r="I315" i="1"/>
  <c r="L315" i="1" s="1"/>
  <c r="K315" i="1" s="1"/>
  <c r="H315" i="1"/>
  <c r="AK314" i="1"/>
  <c r="AA314" i="1"/>
  <c r="X314" i="1"/>
  <c r="W314" i="1"/>
  <c r="T314" i="1"/>
  <c r="H314" i="1"/>
  <c r="I314" i="1" s="1"/>
  <c r="L314" i="1" s="1"/>
  <c r="K314" i="1" s="1"/>
  <c r="AK313" i="1"/>
  <c r="AA313" i="1"/>
  <c r="X313" i="1"/>
  <c r="T313" i="1"/>
  <c r="H313" i="1"/>
  <c r="I313" i="1" s="1"/>
  <c r="L313" i="1" s="1"/>
  <c r="K313" i="1" s="1"/>
  <c r="AK312" i="1"/>
  <c r="AA312" i="1"/>
  <c r="W312" i="1"/>
  <c r="X312" i="1" s="1"/>
  <c r="T312" i="1"/>
  <c r="H312" i="1"/>
  <c r="I312" i="1" s="1"/>
  <c r="L312" i="1" s="1"/>
  <c r="K312" i="1" s="1"/>
  <c r="AK311" i="1"/>
  <c r="AA311" i="1"/>
  <c r="W311" i="1"/>
  <c r="X311" i="1" s="1"/>
  <c r="T311" i="1"/>
  <c r="I311" i="1"/>
  <c r="L311" i="1" s="1"/>
  <c r="K311" i="1" s="1"/>
  <c r="AK310" i="1"/>
  <c r="AA310" i="1"/>
  <c r="W310" i="1"/>
  <c r="X310" i="1" s="1"/>
  <c r="T310" i="1"/>
  <c r="H310" i="1"/>
  <c r="I310" i="1" s="1"/>
  <c r="L310" i="1" s="1"/>
  <c r="K310" i="1" s="1"/>
  <c r="AK309" i="1"/>
  <c r="AA309" i="1"/>
  <c r="W309" i="1"/>
  <c r="X309" i="1" s="1"/>
  <c r="T309" i="1"/>
  <c r="I309" i="1"/>
  <c r="L309" i="1" s="1"/>
  <c r="K309" i="1" s="1"/>
  <c r="H309" i="1"/>
  <c r="AK308" i="1"/>
  <c r="AA308" i="1"/>
  <c r="W308" i="1"/>
  <c r="X308" i="1" s="1"/>
  <c r="T308" i="1"/>
  <c r="H308" i="1"/>
  <c r="I308" i="1" s="1"/>
  <c r="L308" i="1" s="1"/>
  <c r="K308" i="1" s="1"/>
  <c r="AK307" i="1"/>
  <c r="AA307" i="1"/>
  <c r="W307" i="1"/>
  <c r="X307" i="1" s="1"/>
  <c r="T307" i="1"/>
  <c r="H307" i="1"/>
  <c r="I307" i="1" s="1"/>
  <c r="L307" i="1" s="1"/>
  <c r="K307" i="1" s="1"/>
  <c r="AK306" i="1"/>
  <c r="AA306" i="1"/>
  <c r="W306" i="1"/>
  <c r="X306" i="1" s="1"/>
  <c r="T306" i="1"/>
  <c r="I306" i="1"/>
  <c r="L306" i="1" s="1"/>
  <c r="K306" i="1" s="1"/>
  <c r="H306" i="1"/>
  <c r="AK305" i="1"/>
  <c r="AA305" i="1"/>
  <c r="X305" i="1"/>
  <c r="W305" i="1"/>
  <c r="T305" i="1"/>
  <c r="L305" i="1"/>
  <c r="K305" i="1" s="1"/>
  <c r="I305" i="1"/>
  <c r="H305" i="1"/>
  <c r="AK304" i="1"/>
  <c r="AA304" i="1"/>
  <c r="X304" i="1"/>
  <c r="W304" i="1"/>
  <c r="T304" i="1"/>
  <c r="H304" i="1"/>
  <c r="I304" i="1" s="1"/>
  <c r="L304" i="1" s="1"/>
  <c r="K304" i="1" s="1"/>
  <c r="AK303" i="1"/>
  <c r="AA303" i="1"/>
  <c r="W303" i="1"/>
  <c r="X303" i="1" s="1"/>
  <c r="T303" i="1"/>
  <c r="H303" i="1"/>
  <c r="I303" i="1" s="1"/>
  <c r="L303" i="1" s="1"/>
  <c r="K303" i="1" s="1"/>
  <c r="AK302" i="1"/>
  <c r="AA302" i="1"/>
  <c r="W302" i="1"/>
  <c r="X302" i="1" s="1"/>
  <c r="T302" i="1"/>
  <c r="H302" i="1"/>
  <c r="I302" i="1" s="1"/>
  <c r="L302" i="1" s="1"/>
  <c r="K302" i="1" s="1"/>
  <c r="AK301" i="1"/>
  <c r="AA301" i="1"/>
  <c r="W301" i="1"/>
  <c r="X301" i="1" s="1"/>
  <c r="T301" i="1"/>
  <c r="H301" i="1"/>
  <c r="I301" i="1" s="1"/>
  <c r="L301" i="1" s="1"/>
  <c r="K301" i="1" s="1"/>
  <c r="AK300" i="1"/>
  <c r="AA300" i="1"/>
  <c r="W300" i="1"/>
  <c r="X300" i="1" s="1"/>
  <c r="T300" i="1"/>
  <c r="H300" i="1"/>
  <c r="I300" i="1" s="1"/>
  <c r="L300" i="1" s="1"/>
  <c r="K300" i="1" s="1"/>
  <c r="AK299" i="1"/>
  <c r="AA299" i="1"/>
  <c r="W299" i="1"/>
  <c r="X299" i="1" s="1"/>
  <c r="T299" i="1"/>
  <c r="H299" i="1"/>
  <c r="I299" i="1" s="1"/>
  <c r="L299" i="1" s="1"/>
  <c r="K299" i="1" s="1"/>
  <c r="AK298" i="1"/>
  <c r="AA298" i="1"/>
  <c r="W298" i="1"/>
  <c r="X298" i="1" s="1"/>
  <c r="T298" i="1"/>
  <c r="I298" i="1"/>
  <c r="L298" i="1" s="1"/>
  <c r="K298" i="1" s="1"/>
  <c r="H298" i="1"/>
  <c r="AK297" i="1"/>
  <c r="AA297" i="1"/>
  <c r="X297" i="1"/>
  <c r="W297" i="1"/>
  <c r="T297" i="1"/>
  <c r="L297" i="1"/>
  <c r="K297" i="1"/>
  <c r="I297" i="1"/>
  <c r="H297" i="1"/>
  <c r="AK296" i="1"/>
  <c r="AA296" i="1"/>
  <c r="X296" i="1"/>
  <c r="W296" i="1"/>
  <c r="T296" i="1"/>
  <c r="H296" i="1"/>
  <c r="I296" i="1" s="1"/>
  <c r="L296" i="1" s="1"/>
  <c r="K296" i="1" s="1"/>
  <c r="AK295" i="1"/>
  <c r="AA295" i="1"/>
  <c r="W295" i="1"/>
  <c r="X295" i="1" s="1"/>
  <c r="T295" i="1"/>
  <c r="H295" i="1"/>
  <c r="I295" i="1" s="1"/>
  <c r="L295" i="1" s="1"/>
  <c r="K295" i="1" s="1"/>
  <c r="T294" i="1"/>
  <c r="H294" i="1"/>
  <c r="I294" i="1" s="1"/>
  <c r="L294" i="1" s="1"/>
  <c r="K294" i="1" s="1"/>
  <c r="T293" i="1"/>
  <c r="I293" i="1"/>
  <c r="L293" i="1" s="1"/>
  <c r="K293" i="1" s="1"/>
  <c r="H293" i="1"/>
  <c r="T292" i="1"/>
  <c r="H292" i="1"/>
  <c r="I292" i="1" s="1"/>
  <c r="L292" i="1" s="1"/>
  <c r="K292" i="1" s="1"/>
  <c r="AK291" i="1"/>
  <c r="AA291" i="1"/>
  <c r="W291" i="1"/>
  <c r="X291" i="1" s="1"/>
  <c r="T291" i="1"/>
  <c r="H291" i="1"/>
  <c r="I291" i="1" s="1"/>
  <c r="L291" i="1" s="1"/>
  <c r="K291" i="1" s="1"/>
  <c r="AK290" i="1"/>
  <c r="AA290" i="1"/>
  <c r="W290" i="1"/>
  <c r="X290" i="1" s="1"/>
  <c r="T290" i="1"/>
  <c r="I290" i="1"/>
  <c r="L290" i="1" s="1"/>
  <c r="K290" i="1" s="1"/>
  <c r="H290" i="1"/>
  <c r="AK289" i="1"/>
  <c r="AA289" i="1"/>
  <c r="X289" i="1"/>
  <c r="W289" i="1"/>
  <c r="T289" i="1"/>
  <c r="H289" i="1"/>
  <c r="I289" i="1" s="1"/>
  <c r="L289" i="1" s="1"/>
  <c r="K289" i="1" s="1"/>
  <c r="AK288" i="1"/>
  <c r="AA288" i="1"/>
  <c r="W288" i="1"/>
  <c r="X288" i="1" s="1"/>
  <c r="T288" i="1"/>
  <c r="H288" i="1"/>
  <c r="I288" i="1" s="1"/>
  <c r="L288" i="1" s="1"/>
  <c r="K288" i="1" s="1"/>
  <c r="AK287" i="1"/>
  <c r="AA287" i="1"/>
  <c r="W287" i="1"/>
  <c r="X287" i="1" s="1"/>
  <c r="T287" i="1"/>
  <c r="H287" i="1"/>
  <c r="I287" i="1" s="1"/>
  <c r="L287" i="1" s="1"/>
  <c r="K287" i="1" s="1"/>
  <c r="AK286" i="1"/>
  <c r="AA286" i="1"/>
  <c r="W286" i="1"/>
  <c r="X286" i="1" s="1"/>
  <c r="T286" i="1"/>
  <c r="H286" i="1"/>
  <c r="I286" i="1" s="1"/>
  <c r="L286" i="1" s="1"/>
  <c r="K286" i="1" s="1"/>
  <c r="AK285" i="1"/>
  <c r="AA285" i="1"/>
  <c r="W285" i="1"/>
  <c r="X285" i="1" s="1"/>
  <c r="T285" i="1"/>
  <c r="I285" i="1"/>
  <c r="L285" i="1" s="1"/>
  <c r="K285" i="1" s="1"/>
  <c r="H285" i="1"/>
  <c r="AK284" i="1"/>
  <c r="AA284" i="1"/>
  <c r="X284" i="1"/>
  <c r="W284" i="1"/>
  <c r="T284" i="1"/>
  <c r="H284" i="1"/>
  <c r="I284" i="1" s="1"/>
  <c r="L284" i="1" s="1"/>
  <c r="K284" i="1" s="1"/>
  <c r="AK283" i="1"/>
  <c r="AA283" i="1"/>
  <c r="W283" i="1"/>
  <c r="X283" i="1" s="1"/>
  <c r="T283" i="1"/>
  <c r="H283" i="1"/>
  <c r="I283" i="1" s="1"/>
  <c r="L283" i="1" s="1"/>
  <c r="K283" i="1" s="1"/>
  <c r="AK282" i="1"/>
  <c r="AA282" i="1"/>
  <c r="W282" i="1"/>
  <c r="X282" i="1" s="1"/>
  <c r="T282" i="1"/>
  <c r="I282" i="1"/>
  <c r="L282" i="1" s="1"/>
  <c r="K282" i="1" s="1"/>
  <c r="H282" i="1"/>
  <c r="AK281" i="1"/>
  <c r="AA281" i="1"/>
  <c r="X281" i="1"/>
  <c r="W281" i="1"/>
  <c r="T281" i="1"/>
  <c r="H281" i="1"/>
  <c r="I281" i="1" s="1"/>
  <c r="L281" i="1" s="1"/>
  <c r="K281" i="1" s="1"/>
  <c r="AK280" i="1"/>
  <c r="AA280" i="1"/>
  <c r="W280" i="1"/>
  <c r="X280" i="1" s="1"/>
  <c r="T280" i="1"/>
  <c r="H280" i="1"/>
  <c r="I280" i="1" s="1"/>
  <c r="L280" i="1" s="1"/>
  <c r="K280" i="1" s="1"/>
  <c r="T279" i="1"/>
  <c r="H279" i="1"/>
  <c r="I279" i="1" s="1"/>
  <c r="L279" i="1" s="1"/>
  <c r="K279" i="1" s="1"/>
  <c r="T278" i="1"/>
  <c r="I278" i="1"/>
  <c r="L278" i="1" s="1"/>
  <c r="K278" i="1" s="1"/>
  <c r="H278" i="1"/>
  <c r="T277" i="1"/>
  <c r="H277" i="1"/>
  <c r="I277" i="1" s="1"/>
  <c r="L277" i="1" s="1"/>
  <c r="K277" i="1" s="1"/>
  <c r="AK276" i="1"/>
  <c r="AA276" i="1"/>
  <c r="W276" i="1"/>
  <c r="X276" i="1" s="1"/>
  <c r="T276" i="1"/>
  <c r="H276" i="1"/>
  <c r="I276" i="1" s="1"/>
  <c r="L276" i="1" s="1"/>
  <c r="K276" i="1" s="1"/>
  <c r="AK275" i="1"/>
  <c r="AA275" i="1"/>
  <c r="W275" i="1"/>
  <c r="X275" i="1" s="1"/>
  <c r="T275" i="1"/>
  <c r="Q275" i="1"/>
  <c r="I275" i="1"/>
  <c r="L275" i="1" s="1"/>
  <c r="K275" i="1" s="1"/>
  <c r="H275" i="1"/>
  <c r="AH274" i="1"/>
  <c r="AK274" i="1" s="1"/>
  <c r="AA274" i="1"/>
  <c r="T274" i="1"/>
  <c r="H274" i="1"/>
  <c r="I274" i="1" s="1"/>
  <c r="L274" i="1" s="1"/>
  <c r="K274" i="1" s="1"/>
  <c r="AK273" i="1"/>
  <c r="AA273" i="1"/>
  <c r="W273" i="1"/>
  <c r="X273" i="1" s="1"/>
  <c r="T273" i="1"/>
  <c r="H273" i="1"/>
  <c r="I273" i="1" s="1"/>
  <c r="L273" i="1" s="1"/>
  <c r="K273" i="1" s="1"/>
  <c r="AK272" i="1"/>
  <c r="AA272" i="1"/>
  <c r="W272" i="1"/>
  <c r="X272" i="1" s="1"/>
  <c r="T272" i="1"/>
  <c r="O272" i="1"/>
  <c r="I272" i="1"/>
  <c r="L272" i="1" s="1"/>
  <c r="K272" i="1" s="1"/>
  <c r="H272" i="1"/>
  <c r="AK271" i="1"/>
  <c r="AA271" i="1"/>
  <c r="X271" i="1"/>
  <c r="W271" i="1"/>
  <c r="T271" i="1"/>
  <c r="H271" i="1"/>
  <c r="I271" i="1" s="1"/>
  <c r="L271" i="1" s="1"/>
  <c r="K271" i="1" s="1"/>
  <c r="AK270" i="1"/>
  <c r="AA270" i="1"/>
  <c r="W270" i="1"/>
  <c r="X270" i="1" s="1"/>
  <c r="T270" i="1"/>
  <c r="H270" i="1"/>
  <c r="I270" i="1" s="1"/>
  <c r="L270" i="1" s="1"/>
  <c r="K270" i="1" s="1"/>
  <c r="AK269" i="1"/>
  <c r="AA269" i="1"/>
  <c r="W269" i="1"/>
  <c r="X269" i="1" s="1"/>
  <c r="T269" i="1"/>
  <c r="H269" i="1"/>
  <c r="I269" i="1" s="1"/>
  <c r="L269" i="1" s="1"/>
  <c r="K269" i="1" s="1"/>
  <c r="AK268" i="1"/>
  <c r="AA268" i="1"/>
  <c r="W268" i="1"/>
  <c r="X268" i="1" s="1"/>
  <c r="T268" i="1"/>
  <c r="H268" i="1"/>
  <c r="I268" i="1" s="1"/>
  <c r="L268" i="1" s="1"/>
  <c r="K268" i="1" s="1"/>
  <c r="AK267" i="1"/>
  <c r="AA267" i="1"/>
  <c r="W267" i="1"/>
  <c r="X267" i="1" s="1"/>
  <c r="T267" i="1"/>
  <c r="H267" i="1"/>
  <c r="I267" i="1" s="1"/>
  <c r="L267" i="1" s="1"/>
  <c r="K267" i="1" s="1"/>
  <c r="AK266" i="1"/>
  <c r="AA266" i="1"/>
  <c r="W266" i="1"/>
  <c r="X266" i="1" s="1"/>
  <c r="T266" i="1"/>
  <c r="O266" i="1"/>
  <c r="I266" i="1"/>
  <c r="L266" i="1" s="1"/>
  <c r="K266" i="1" s="1"/>
  <c r="H266" i="1"/>
  <c r="T265" i="1"/>
  <c r="I265" i="1"/>
  <c r="L265" i="1" s="1"/>
  <c r="K265" i="1" s="1"/>
  <c r="H265" i="1"/>
  <c r="AH264" i="1"/>
  <c r="AK264" i="1" s="1"/>
  <c r="AA264" i="1"/>
  <c r="T264" i="1"/>
  <c r="H264" i="1"/>
  <c r="I264" i="1" s="1"/>
  <c r="L264" i="1" s="1"/>
  <c r="K264" i="1" s="1"/>
  <c r="AK263" i="1"/>
  <c r="AA263" i="1"/>
  <c r="W263" i="1"/>
  <c r="X263" i="1" s="1"/>
  <c r="T263" i="1"/>
  <c r="H263" i="1"/>
  <c r="I263" i="1" s="1"/>
  <c r="L263" i="1" s="1"/>
  <c r="K263" i="1" s="1"/>
  <c r="AK262" i="1"/>
  <c r="AA262" i="1"/>
  <c r="W262" i="1"/>
  <c r="X262" i="1" s="1"/>
  <c r="T262" i="1"/>
  <c r="I262" i="1"/>
  <c r="L262" i="1" s="1"/>
  <c r="K262" i="1" s="1"/>
  <c r="H262" i="1"/>
  <c r="AK261" i="1"/>
  <c r="AA261" i="1"/>
  <c r="X261" i="1"/>
  <c r="W261" i="1"/>
  <c r="T261" i="1"/>
  <c r="H261" i="1"/>
  <c r="I261" i="1" s="1"/>
  <c r="L261" i="1" s="1"/>
  <c r="K261" i="1" s="1"/>
  <c r="AK260" i="1"/>
  <c r="AA260" i="1"/>
  <c r="W260" i="1"/>
  <c r="X260" i="1" s="1"/>
  <c r="T260" i="1"/>
  <c r="H260" i="1"/>
  <c r="I260" i="1" s="1"/>
  <c r="L260" i="1" s="1"/>
  <c r="K260" i="1" s="1"/>
  <c r="AK259" i="1"/>
  <c r="AA259" i="1"/>
  <c r="W259" i="1"/>
  <c r="X259" i="1" s="1"/>
  <c r="T259" i="1"/>
  <c r="I259" i="1"/>
  <c r="L259" i="1" s="1"/>
  <c r="K259" i="1" s="1"/>
  <c r="H259" i="1"/>
  <c r="AK258" i="1"/>
  <c r="AA258" i="1"/>
  <c r="X258" i="1"/>
  <c r="T258" i="1"/>
  <c r="H258" i="1"/>
  <c r="I258" i="1" s="1"/>
  <c r="L258" i="1" s="1"/>
  <c r="K258" i="1" s="1"/>
  <c r="T257" i="1"/>
  <c r="I257" i="1"/>
  <c r="L257" i="1" s="1"/>
  <c r="K257" i="1" s="1"/>
  <c r="H257" i="1"/>
  <c r="AK256" i="1"/>
  <c r="AA256" i="1"/>
  <c r="X256" i="1"/>
  <c r="W256" i="1"/>
  <c r="T256" i="1"/>
  <c r="H256" i="1"/>
  <c r="I256" i="1" s="1"/>
  <c r="L256" i="1" s="1"/>
  <c r="K256" i="1" s="1"/>
  <c r="AK255" i="1"/>
  <c r="AA255" i="1"/>
  <c r="W255" i="1"/>
  <c r="X255" i="1" s="1"/>
  <c r="T255" i="1"/>
  <c r="H255" i="1"/>
  <c r="I255" i="1" s="1"/>
  <c r="L255" i="1" s="1"/>
  <c r="K255" i="1" s="1"/>
  <c r="AK254" i="1"/>
  <c r="AA254" i="1"/>
  <c r="W254" i="1"/>
  <c r="X254" i="1" s="1"/>
  <c r="T254" i="1"/>
  <c r="I254" i="1"/>
  <c r="L254" i="1" s="1"/>
  <c r="K254" i="1" s="1"/>
  <c r="H254" i="1"/>
  <c r="AK253" i="1"/>
  <c r="AA253" i="1"/>
  <c r="X253" i="1"/>
  <c r="W253" i="1"/>
  <c r="T253" i="1"/>
  <c r="H253" i="1"/>
  <c r="I253" i="1" s="1"/>
  <c r="L253" i="1" s="1"/>
  <c r="K253" i="1" s="1"/>
  <c r="AK252" i="1"/>
  <c r="AA252" i="1"/>
  <c r="W252" i="1"/>
  <c r="X252" i="1" s="1"/>
  <c r="T252" i="1"/>
  <c r="H252" i="1"/>
  <c r="I252" i="1" s="1"/>
  <c r="L252" i="1" s="1"/>
  <c r="K252" i="1" s="1"/>
  <c r="AK251" i="1"/>
  <c r="AA251" i="1"/>
  <c r="W251" i="1"/>
  <c r="X251" i="1" s="1"/>
  <c r="T251" i="1"/>
  <c r="I251" i="1"/>
  <c r="L251" i="1" s="1"/>
  <c r="K251" i="1" s="1"/>
  <c r="AH250" i="1"/>
  <c r="W250" i="1" s="1"/>
  <c r="X250" i="1" s="1"/>
  <c r="AA250" i="1"/>
  <c r="T250" i="1"/>
  <c r="I250" i="1"/>
  <c r="L250" i="1" s="1"/>
  <c r="K250" i="1" s="1"/>
  <c r="H250" i="1"/>
  <c r="AK249" i="1"/>
  <c r="AA249" i="1"/>
  <c r="X249" i="1"/>
  <c r="W249" i="1"/>
  <c r="T249" i="1"/>
  <c r="I249" i="1"/>
  <c r="L249" i="1" s="1"/>
  <c r="K249" i="1" s="1"/>
  <c r="H249" i="1"/>
  <c r="AK248" i="1"/>
  <c r="AA248" i="1"/>
  <c r="X248" i="1"/>
  <c r="W248" i="1"/>
  <c r="T248" i="1"/>
  <c r="H248" i="1"/>
  <c r="I248" i="1" s="1"/>
  <c r="L248" i="1" s="1"/>
  <c r="K248" i="1" s="1"/>
  <c r="AK247" i="1"/>
  <c r="AA247" i="1"/>
  <c r="W247" i="1"/>
  <c r="X247" i="1" s="1"/>
  <c r="T247" i="1"/>
  <c r="H247" i="1"/>
  <c r="I247" i="1" s="1"/>
  <c r="L247" i="1" s="1"/>
  <c r="K247" i="1" s="1"/>
  <c r="AK246" i="1"/>
  <c r="AA246" i="1"/>
  <c r="W246" i="1"/>
  <c r="X246" i="1" s="1"/>
  <c r="T246" i="1"/>
  <c r="H246" i="1"/>
  <c r="I246" i="1" s="1"/>
  <c r="L246" i="1" s="1"/>
  <c r="K246" i="1" s="1"/>
  <c r="AK245" i="1"/>
  <c r="AA245" i="1"/>
  <c r="W245" i="1"/>
  <c r="X245" i="1" s="1"/>
  <c r="T245" i="1"/>
  <c r="H245" i="1"/>
  <c r="I245" i="1" s="1"/>
  <c r="L245" i="1" s="1"/>
  <c r="K245" i="1" s="1"/>
  <c r="AK244" i="1"/>
  <c r="AA244" i="1"/>
  <c r="W244" i="1"/>
  <c r="X244" i="1" s="1"/>
  <c r="T244" i="1"/>
  <c r="H244" i="1"/>
  <c r="I244" i="1" s="1"/>
  <c r="L244" i="1" s="1"/>
  <c r="K244" i="1" s="1"/>
  <c r="AK243" i="1"/>
  <c r="AA243" i="1"/>
  <c r="W243" i="1"/>
  <c r="X243" i="1" s="1"/>
  <c r="T243" i="1"/>
  <c r="H243" i="1"/>
  <c r="I243" i="1" s="1"/>
  <c r="L243" i="1" s="1"/>
  <c r="K243" i="1" s="1"/>
  <c r="AK242" i="1"/>
  <c r="AA242" i="1"/>
  <c r="W242" i="1"/>
  <c r="X242" i="1" s="1"/>
  <c r="T242" i="1"/>
  <c r="I242" i="1"/>
  <c r="L242" i="1" s="1"/>
  <c r="K242" i="1" s="1"/>
  <c r="H242" i="1"/>
  <c r="AK241" i="1"/>
  <c r="AA241" i="1"/>
  <c r="X241" i="1"/>
  <c r="W241" i="1"/>
  <c r="T241" i="1"/>
  <c r="H241" i="1"/>
  <c r="I241" i="1" s="1"/>
  <c r="L241" i="1" s="1"/>
  <c r="K241" i="1" s="1"/>
  <c r="AK240" i="1"/>
  <c r="AA240" i="1"/>
  <c r="W240" i="1"/>
  <c r="X240" i="1" s="1"/>
  <c r="T240" i="1"/>
  <c r="H240" i="1"/>
  <c r="I240" i="1" s="1"/>
  <c r="L240" i="1" s="1"/>
  <c r="K240" i="1" s="1"/>
  <c r="T239" i="1"/>
  <c r="H239" i="1"/>
  <c r="I239" i="1" s="1"/>
  <c r="L239" i="1" s="1"/>
  <c r="K239" i="1" s="1"/>
  <c r="AK238" i="1"/>
  <c r="AA238" i="1"/>
  <c r="W238" i="1"/>
  <c r="X238" i="1" s="1"/>
  <c r="T238" i="1"/>
  <c r="H238" i="1"/>
  <c r="I238" i="1" s="1"/>
  <c r="L238" i="1" s="1"/>
  <c r="K238" i="1" s="1"/>
  <c r="AK237" i="1"/>
  <c r="AA237" i="1"/>
  <c r="W237" i="1"/>
  <c r="X237" i="1" s="1"/>
  <c r="T237" i="1"/>
  <c r="O237" i="1"/>
  <c r="H237" i="1" s="1"/>
  <c r="I237" i="1" s="1"/>
  <c r="L237" i="1" s="1"/>
  <c r="K237" i="1" s="1"/>
  <c r="AK236" i="1"/>
  <c r="AA236" i="1"/>
  <c r="W236" i="1"/>
  <c r="X236" i="1" s="1"/>
  <c r="T236" i="1"/>
  <c r="H236" i="1"/>
  <c r="I236" i="1" s="1"/>
  <c r="L236" i="1" s="1"/>
  <c r="K236" i="1" s="1"/>
  <c r="AK235" i="1"/>
  <c r="AA235" i="1"/>
  <c r="W235" i="1"/>
  <c r="X235" i="1" s="1"/>
  <c r="T235" i="1"/>
  <c r="H235" i="1"/>
  <c r="I235" i="1" s="1"/>
  <c r="L235" i="1" s="1"/>
  <c r="K235" i="1" s="1"/>
  <c r="AK234" i="1"/>
  <c r="AA234" i="1"/>
  <c r="W234" i="1"/>
  <c r="X234" i="1" s="1"/>
  <c r="T234" i="1"/>
  <c r="L234" i="1"/>
  <c r="K234" i="1" s="1"/>
  <c r="I234" i="1"/>
  <c r="H234" i="1"/>
  <c r="AK233" i="1"/>
  <c r="AA233" i="1"/>
  <c r="X233" i="1"/>
  <c r="W233" i="1"/>
  <c r="T233" i="1"/>
  <c r="H233" i="1"/>
  <c r="I233" i="1" s="1"/>
  <c r="L233" i="1" s="1"/>
  <c r="K233" i="1" s="1"/>
  <c r="AK232" i="1"/>
  <c r="AA232" i="1"/>
  <c r="W232" i="1"/>
  <c r="X232" i="1" s="1"/>
  <c r="T232" i="1"/>
  <c r="H232" i="1"/>
  <c r="I232" i="1" s="1"/>
  <c r="L232" i="1" s="1"/>
  <c r="K232" i="1" s="1"/>
  <c r="AK231" i="1"/>
  <c r="AA231" i="1"/>
  <c r="W231" i="1"/>
  <c r="X231" i="1" s="1"/>
  <c r="T231" i="1"/>
  <c r="H231" i="1"/>
  <c r="I231" i="1" s="1"/>
  <c r="L231" i="1" s="1"/>
  <c r="K231" i="1" s="1"/>
  <c r="AK230" i="1"/>
  <c r="AA230" i="1"/>
  <c r="W230" i="1"/>
  <c r="X230" i="1" s="1"/>
  <c r="T230" i="1"/>
  <c r="Q230" i="1"/>
  <c r="H230" i="1"/>
  <c r="I230" i="1" s="1"/>
  <c r="L230" i="1" s="1"/>
  <c r="K230" i="1" s="1"/>
  <c r="AK229" i="1"/>
  <c r="AA229" i="1"/>
  <c r="W229" i="1"/>
  <c r="X229" i="1" s="1"/>
  <c r="T229" i="1"/>
  <c r="H229" i="1"/>
  <c r="I229" i="1" s="1"/>
  <c r="L229" i="1" s="1"/>
  <c r="K229" i="1" s="1"/>
  <c r="AK228" i="1"/>
  <c r="AA228" i="1"/>
  <c r="W228" i="1"/>
  <c r="X228" i="1" s="1"/>
  <c r="T228" i="1"/>
  <c r="H228" i="1"/>
  <c r="I228" i="1" s="1"/>
  <c r="L228" i="1" s="1"/>
  <c r="K228" i="1" s="1"/>
  <c r="AK227" i="1"/>
  <c r="AA227" i="1"/>
  <c r="W227" i="1"/>
  <c r="X227" i="1" s="1"/>
  <c r="T227" i="1"/>
  <c r="L227" i="1"/>
  <c r="K227" i="1" s="1"/>
  <c r="I227" i="1"/>
  <c r="H227" i="1"/>
  <c r="AK226" i="1"/>
  <c r="AA226" i="1"/>
  <c r="X226" i="1"/>
  <c r="W226" i="1"/>
  <c r="T226" i="1"/>
  <c r="H226" i="1"/>
  <c r="I226" i="1" s="1"/>
  <c r="L226" i="1" s="1"/>
  <c r="K226" i="1" s="1"/>
  <c r="AK225" i="1"/>
  <c r="AA225" i="1"/>
  <c r="W225" i="1"/>
  <c r="X225" i="1" s="1"/>
  <c r="T225" i="1"/>
  <c r="H225" i="1"/>
  <c r="I225" i="1" s="1"/>
  <c r="L225" i="1" s="1"/>
  <c r="K225" i="1" s="1"/>
  <c r="AK224" i="1"/>
  <c r="AA224" i="1"/>
  <c r="W224" i="1"/>
  <c r="X224" i="1" s="1"/>
  <c r="T224" i="1"/>
  <c r="H224" i="1"/>
  <c r="I224" i="1" s="1"/>
  <c r="L224" i="1" s="1"/>
  <c r="K224" i="1" s="1"/>
  <c r="AK223" i="1"/>
  <c r="AA223" i="1"/>
  <c r="W223" i="1"/>
  <c r="X223" i="1" s="1"/>
  <c r="T223" i="1"/>
  <c r="I223" i="1"/>
  <c r="L223" i="1" s="1"/>
  <c r="K223" i="1" s="1"/>
  <c r="H223" i="1"/>
  <c r="AK222" i="1"/>
  <c r="AA222" i="1"/>
  <c r="X222" i="1"/>
  <c r="W222" i="1"/>
  <c r="T222" i="1"/>
  <c r="H222" i="1"/>
  <c r="I222" i="1" s="1"/>
  <c r="L222" i="1" s="1"/>
  <c r="K222" i="1" s="1"/>
  <c r="AK221" i="1"/>
  <c r="AA221" i="1"/>
  <c r="W221" i="1"/>
  <c r="X221" i="1" s="1"/>
  <c r="T221" i="1"/>
  <c r="H221" i="1"/>
  <c r="I221" i="1" s="1"/>
  <c r="L221" i="1" s="1"/>
  <c r="K221" i="1" s="1"/>
  <c r="AK220" i="1"/>
  <c r="AA220" i="1"/>
  <c r="W220" i="1"/>
  <c r="X220" i="1" s="1"/>
  <c r="T220" i="1"/>
  <c r="H220" i="1"/>
  <c r="I220" i="1" s="1"/>
  <c r="L220" i="1" s="1"/>
  <c r="K220" i="1" s="1"/>
  <c r="AK219" i="1"/>
  <c r="AA219" i="1"/>
  <c r="W219" i="1"/>
  <c r="X219" i="1" s="1"/>
  <c r="T219" i="1"/>
  <c r="L219" i="1"/>
  <c r="K219" i="1" s="1"/>
  <c r="I219" i="1"/>
  <c r="H219" i="1"/>
  <c r="AK218" i="1"/>
  <c r="AA218" i="1"/>
  <c r="X218" i="1"/>
  <c r="W218" i="1"/>
  <c r="T218" i="1"/>
  <c r="H218" i="1"/>
  <c r="I218" i="1" s="1"/>
  <c r="L218" i="1" s="1"/>
  <c r="K218" i="1" s="1"/>
  <c r="AK217" i="1"/>
  <c r="AA217" i="1"/>
  <c r="W217" i="1"/>
  <c r="X217" i="1" s="1"/>
  <c r="T217" i="1"/>
  <c r="H217" i="1"/>
  <c r="I217" i="1" s="1"/>
  <c r="L217" i="1" s="1"/>
  <c r="K217" i="1" s="1"/>
  <c r="T216" i="1"/>
  <c r="H216" i="1"/>
  <c r="I216" i="1" s="1"/>
  <c r="L216" i="1" s="1"/>
  <c r="K216" i="1" s="1"/>
  <c r="AK215" i="1"/>
  <c r="AA215" i="1"/>
  <c r="W215" i="1"/>
  <c r="X215" i="1" s="1"/>
  <c r="T215" i="1"/>
  <c r="H215" i="1"/>
  <c r="I215" i="1" s="1"/>
  <c r="L215" i="1" s="1"/>
  <c r="K215" i="1" s="1"/>
  <c r="AK214" i="1"/>
  <c r="AA214" i="1"/>
  <c r="W214" i="1"/>
  <c r="X214" i="1" s="1"/>
  <c r="T214" i="1"/>
  <c r="H214" i="1"/>
  <c r="I214" i="1" s="1"/>
  <c r="L214" i="1" s="1"/>
  <c r="K214" i="1" s="1"/>
  <c r="T213" i="1"/>
  <c r="I213" i="1"/>
  <c r="L213" i="1" s="1"/>
  <c r="K213" i="1" s="1"/>
  <c r="H213" i="1"/>
  <c r="AK212" i="1"/>
  <c r="AA212" i="1"/>
  <c r="X212" i="1"/>
  <c r="W212" i="1"/>
  <c r="T212" i="1"/>
  <c r="H212" i="1"/>
  <c r="I212" i="1" s="1"/>
  <c r="L212" i="1" s="1"/>
  <c r="K212" i="1" s="1"/>
  <c r="AK211" i="1"/>
  <c r="AA211" i="1"/>
  <c r="W211" i="1"/>
  <c r="X211" i="1" s="1"/>
  <c r="T211" i="1"/>
  <c r="I211" i="1"/>
  <c r="L211" i="1" s="1"/>
  <c r="K211" i="1" s="1"/>
  <c r="H211" i="1"/>
  <c r="AK210" i="1"/>
  <c r="AA210" i="1"/>
  <c r="X210" i="1"/>
  <c r="W210" i="1"/>
  <c r="T210" i="1"/>
  <c r="H210" i="1"/>
  <c r="I210" i="1" s="1"/>
  <c r="L210" i="1" s="1"/>
  <c r="K210" i="1" s="1"/>
  <c r="AK209" i="1"/>
  <c r="AA209" i="1"/>
  <c r="W209" i="1"/>
  <c r="X209" i="1" s="1"/>
  <c r="T209" i="1"/>
  <c r="I209" i="1"/>
  <c r="L209" i="1" s="1"/>
  <c r="K209" i="1" s="1"/>
  <c r="H209" i="1"/>
  <c r="AK208" i="1"/>
  <c r="AA208" i="1"/>
  <c r="X208" i="1"/>
  <c r="W208" i="1"/>
  <c r="T208" i="1"/>
  <c r="H208" i="1"/>
  <c r="I208" i="1" s="1"/>
  <c r="L208" i="1" s="1"/>
  <c r="K208" i="1" s="1"/>
  <c r="AK207" i="1"/>
  <c r="AA207" i="1"/>
  <c r="W207" i="1"/>
  <c r="X207" i="1" s="1"/>
  <c r="T207" i="1"/>
  <c r="I207" i="1"/>
  <c r="L207" i="1" s="1"/>
  <c r="K207" i="1" s="1"/>
  <c r="AK206" i="1"/>
  <c r="AA206" i="1"/>
  <c r="W206" i="1"/>
  <c r="X206" i="1" s="1"/>
  <c r="T206" i="1"/>
  <c r="H206" i="1"/>
  <c r="I206" i="1" s="1"/>
  <c r="L206" i="1" s="1"/>
  <c r="K206" i="1" s="1"/>
  <c r="AK205" i="1"/>
  <c r="AA205" i="1"/>
  <c r="W205" i="1"/>
  <c r="X205" i="1" s="1"/>
  <c r="T205" i="1"/>
  <c r="H205" i="1"/>
  <c r="I205" i="1" s="1"/>
  <c r="L205" i="1" s="1"/>
  <c r="K205" i="1" s="1"/>
  <c r="AK204" i="1"/>
  <c r="AA204" i="1"/>
  <c r="W204" i="1"/>
  <c r="X204" i="1" s="1"/>
  <c r="T204" i="1"/>
  <c r="Q204" i="1"/>
  <c r="I204" i="1"/>
  <c r="L204" i="1" s="1"/>
  <c r="K204" i="1" s="1"/>
  <c r="H204" i="1"/>
  <c r="AK203" i="1"/>
  <c r="AA203" i="1"/>
  <c r="X203" i="1"/>
  <c r="W203" i="1"/>
  <c r="T203" i="1"/>
  <c r="H203" i="1"/>
  <c r="I203" i="1" s="1"/>
  <c r="L203" i="1" s="1"/>
  <c r="K203" i="1" s="1"/>
  <c r="AK202" i="1"/>
  <c r="AA202" i="1"/>
  <c r="W202" i="1"/>
  <c r="X202" i="1" s="1"/>
  <c r="T202" i="1"/>
  <c r="L202" i="1"/>
  <c r="K202" i="1" s="1"/>
  <c r="H202" i="1"/>
  <c r="I202" i="1" s="1"/>
  <c r="AK201" i="1"/>
  <c r="AF201" i="1"/>
  <c r="AA201" i="1"/>
  <c r="W201" i="1"/>
  <c r="X201" i="1" s="1"/>
  <c r="S201" i="1"/>
  <c r="T201" i="1" s="1"/>
  <c r="H201" i="1"/>
  <c r="I201" i="1" s="1"/>
  <c r="L201" i="1" s="1"/>
  <c r="K201" i="1" s="1"/>
  <c r="AK200" i="1"/>
  <c r="AA200" i="1"/>
  <c r="W200" i="1"/>
  <c r="X200" i="1" s="1"/>
  <c r="T200" i="1"/>
  <c r="H200" i="1"/>
  <c r="I200" i="1" s="1"/>
  <c r="L200" i="1" s="1"/>
  <c r="K200" i="1" s="1"/>
  <c r="AK199" i="1"/>
  <c r="AA199" i="1"/>
  <c r="W199" i="1"/>
  <c r="X199" i="1" s="1"/>
  <c r="T199" i="1"/>
  <c r="Q199" i="1"/>
  <c r="I199" i="1"/>
  <c r="L199" i="1" s="1"/>
  <c r="K199" i="1" s="1"/>
  <c r="H199" i="1"/>
  <c r="AK198" i="1"/>
  <c r="AA198" i="1"/>
  <c r="X198" i="1"/>
  <c r="W198" i="1"/>
  <c r="T198" i="1"/>
  <c r="H198" i="1"/>
  <c r="I198" i="1" s="1"/>
  <c r="L198" i="1" s="1"/>
  <c r="K198" i="1" s="1"/>
  <c r="AK197" i="1"/>
  <c r="AA197" i="1"/>
  <c r="W197" i="1"/>
  <c r="X197" i="1" s="1"/>
  <c r="T197" i="1"/>
  <c r="L197" i="1"/>
  <c r="K197" i="1" s="1"/>
  <c r="H197" i="1"/>
  <c r="I197" i="1" s="1"/>
  <c r="AK196" i="1"/>
  <c r="AA196" i="1"/>
  <c r="W196" i="1"/>
  <c r="X196" i="1" s="1"/>
  <c r="T196" i="1"/>
  <c r="H196" i="1"/>
  <c r="I196" i="1" s="1"/>
  <c r="L196" i="1" s="1"/>
  <c r="K196" i="1" s="1"/>
  <c r="AK195" i="1"/>
  <c r="AA195" i="1"/>
  <c r="W195" i="1"/>
  <c r="X195" i="1" s="1"/>
  <c r="T195" i="1"/>
  <c r="H195" i="1"/>
  <c r="I195" i="1" s="1"/>
  <c r="L195" i="1" s="1"/>
  <c r="K195" i="1" s="1"/>
  <c r="AK194" i="1"/>
  <c r="AA194" i="1"/>
  <c r="W194" i="1"/>
  <c r="X194" i="1" s="1"/>
  <c r="T194" i="1"/>
  <c r="H194" i="1"/>
  <c r="I194" i="1" s="1"/>
  <c r="L194" i="1" s="1"/>
  <c r="K194" i="1" s="1"/>
  <c r="AK193" i="1"/>
  <c r="AA193" i="1"/>
  <c r="W193" i="1"/>
  <c r="X193" i="1" s="1"/>
  <c r="T193" i="1"/>
  <c r="H193" i="1"/>
  <c r="I193" i="1" s="1"/>
  <c r="L193" i="1" s="1"/>
  <c r="K193" i="1" s="1"/>
  <c r="AK192" i="1"/>
  <c r="AA192" i="1"/>
  <c r="W192" i="1"/>
  <c r="X192" i="1" s="1"/>
  <c r="T192" i="1"/>
  <c r="I192" i="1"/>
  <c r="L192" i="1" s="1"/>
  <c r="K192" i="1" s="1"/>
  <c r="H192" i="1"/>
  <c r="AK191" i="1"/>
  <c r="AA191" i="1"/>
  <c r="X191" i="1"/>
  <c r="W191" i="1"/>
  <c r="T191" i="1"/>
  <c r="H191" i="1"/>
  <c r="I191" i="1" s="1"/>
  <c r="L191" i="1" s="1"/>
  <c r="K191" i="1" s="1"/>
  <c r="AK190" i="1"/>
  <c r="AA190" i="1"/>
  <c r="W190" i="1"/>
  <c r="X190" i="1" s="1"/>
  <c r="T190" i="1"/>
  <c r="I190" i="1"/>
  <c r="L190" i="1" s="1"/>
  <c r="K190" i="1" s="1"/>
  <c r="H190" i="1"/>
  <c r="AK189" i="1"/>
  <c r="AA189" i="1"/>
  <c r="X189" i="1"/>
  <c r="W189" i="1"/>
  <c r="T189" i="1"/>
  <c r="H189" i="1"/>
  <c r="I189" i="1" s="1"/>
  <c r="L189" i="1" s="1"/>
  <c r="K189" i="1" s="1"/>
  <c r="AK188" i="1"/>
  <c r="AA188" i="1"/>
  <c r="W188" i="1"/>
  <c r="X188" i="1" s="1"/>
  <c r="T188" i="1"/>
  <c r="I188" i="1"/>
  <c r="L188" i="1" s="1"/>
  <c r="K188" i="1" s="1"/>
  <c r="H188" i="1"/>
  <c r="T187" i="1"/>
  <c r="I187" i="1"/>
  <c r="L187" i="1" s="1"/>
  <c r="K187" i="1" s="1"/>
  <c r="AK186" i="1"/>
  <c r="AA186" i="1"/>
  <c r="W186" i="1"/>
  <c r="X186" i="1" s="1"/>
  <c r="T186" i="1"/>
  <c r="H186" i="1"/>
  <c r="I186" i="1" s="1"/>
  <c r="L186" i="1" s="1"/>
  <c r="K186" i="1" s="1"/>
  <c r="AK185" i="1"/>
  <c r="AA185" i="1"/>
  <c r="W185" i="1"/>
  <c r="X185" i="1" s="1"/>
  <c r="T185" i="1"/>
  <c r="H185" i="1"/>
  <c r="I185" i="1" s="1"/>
  <c r="L185" i="1" s="1"/>
  <c r="K185" i="1" s="1"/>
  <c r="AK184" i="1"/>
  <c r="AA184" i="1"/>
  <c r="W184" i="1"/>
  <c r="X184" i="1" s="1"/>
  <c r="T184" i="1"/>
  <c r="H184" i="1"/>
  <c r="I184" i="1" s="1"/>
  <c r="L184" i="1" s="1"/>
  <c r="K184" i="1" s="1"/>
  <c r="AK183" i="1"/>
  <c r="AA183" i="1"/>
  <c r="W183" i="1"/>
  <c r="X183" i="1" s="1"/>
  <c r="T183" i="1"/>
  <c r="H183" i="1"/>
  <c r="I183" i="1" s="1"/>
  <c r="L183" i="1" s="1"/>
  <c r="K183" i="1" s="1"/>
  <c r="AK182" i="1"/>
  <c r="AA182" i="1"/>
  <c r="W182" i="1"/>
  <c r="X182" i="1" s="1"/>
  <c r="T182" i="1"/>
  <c r="H182" i="1"/>
  <c r="I182" i="1" s="1"/>
  <c r="L182" i="1" s="1"/>
  <c r="K182" i="1" s="1"/>
  <c r="AK181" i="1"/>
  <c r="AA181" i="1"/>
  <c r="W181" i="1"/>
  <c r="X181" i="1" s="1"/>
  <c r="T181" i="1"/>
  <c r="H181" i="1"/>
  <c r="I181" i="1" s="1"/>
  <c r="L181" i="1" s="1"/>
  <c r="K181" i="1" s="1"/>
  <c r="AK180" i="1"/>
  <c r="AA180" i="1"/>
  <c r="W180" i="1"/>
  <c r="X180" i="1" s="1"/>
  <c r="T180" i="1"/>
  <c r="H180" i="1"/>
  <c r="I180" i="1" s="1"/>
  <c r="L180" i="1" s="1"/>
  <c r="K180" i="1" s="1"/>
  <c r="AK179" i="1"/>
  <c r="AA179" i="1"/>
  <c r="W179" i="1"/>
  <c r="X179" i="1" s="1"/>
  <c r="T179" i="1"/>
  <c r="H179" i="1"/>
  <c r="I179" i="1" s="1"/>
  <c r="L179" i="1" s="1"/>
  <c r="K179" i="1" s="1"/>
  <c r="AF178" i="1"/>
  <c r="AH178" i="1" s="1"/>
  <c r="AA178" i="1"/>
  <c r="S178" i="1"/>
  <c r="T178" i="1" s="1"/>
  <c r="O178" i="1"/>
  <c r="H178" i="1" s="1"/>
  <c r="I178" i="1" s="1"/>
  <c r="L178" i="1" s="1"/>
  <c r="K178" i="1" s="1"/>
  <c r="AF177" i="1"/>
  <c r="AH177" i="1" s="1"/>
  <c r="AA177" i="1"/>
  <c r="S177" i="1"/>
  <c r="T177" i="1" s="1"/>
  <c r="O177" i="1"/>
  <c r="H177" i="1" s="1"/>
  <c r="I177" i="1" s="1"/>
  <c r="L177" i="1" s="1"/>
  <c r="K177" i="1" s="1"/>
  <c r="AK176" i="1"/>
  <c r="AA176" i="1"/>
  <c r="W176" i="1"/>
  <c r="X176" i="1" s="1"/>
  <c r="T176" i="1"/>
  <c r="H176" i="1"/>
  <c r="I176" i="1" s="1"/>
  <c r="L176" i="1" s="1"/>
  <c r="K176" i="1" s="1"/>
  <c r="AH175" i="1"/>
  <c r="AK175" i="1" s="1"/>
  <c r="AA175" i="1"/>
  <c r="T175" i="1"/>
  <c r="H175" i="1"/>
  <c r="I175" i="1" s="1"/>
  <c r="L175" i="1" s="1"/>
  <c r="K175" i="1" s="1"/>
  <c r="AK174" i="1"/>
  <c r="AA174" i="1"/>
  <c r="W174" i="1"/>
  <c r="X174" i="1" s="1"/>
  <c r="T174" i="1"/>
  <c r="Q174" i="1"/>
  <c r="H174" i="1"/>
  <c r="I174" i="1" s="1"/>
  <c r="L174" i="1" s="1"/>
  <c r="K174" i="1" s="1"/>
  <c r="AK173" i="1"/>
  <c r="AA173" i="1"/>
  <c r="W173" i="1"/>
  <c r="X173" i="1" s="1"/>
  <c r="T173" i="1"/>
  <c r="I173" i="1"/>
  <c r="L173" i="1" s="1"/>
  <c r="K173" i="1" s="1"/>
  <c r="H173" i="1"/>
  <c r="AK172" i="1"/>
  <c r="AA172" i="1"/>
  <c r="X172" i="1"/>
  <c r="W172" i="1"/>
  <c r="T172" i="1"/>
  <c r="H172" i="1"/>
  <c r="I172" i="1" s="1"/>
  <c r="L172" i="1" s="1"/>
  <c r="K172" i="1" s="1"/>
  <c r="AK171" i="1"/>
  <c r="AA171" i="1"/>
  <c r="W171" i="1"/>
  <c r="X171" i="1" s="1"/>
  <c r="T171" i="1"/>
  <c r="I171" i="1"/>
  <c r="L171" i="1" s="1"/>
  <c r="K171" i="1" s="1"/>
  <c r="H171" i="1"/>
  <c r="AF170" i="1"/>
  <c r="AH170" i="1" s="1"/>
  <c r="AA170" i="1"/>
  <c r="T170" i="1"/>
  <c r="S170" i="1"/>
  <c r="O170" i="1"/>
  <c r="H170" i="1"/>
  <c r="I170" i="1" s="1"/>
  <c r="L170" i="1" s="1"/>
  <c r="K170" i="1" s="1"/>
  <c r="AH169" i="1"/>
  <c r="AK169" i="1" s="1"/>
  <c r="AF169" i="1"/>
  <c r="AA169" i="1"/>
  <c r="W169" i="1"/>
  <c r="X169" i="1" s="1"/>
  <c r="S169" i="1"/>
  <c r="T169" i="1" s="1"/>
  <c r="O169" i="1"/>
  <c r="H169" i="1"/>
  <c r="I169" i="1" s="1"/>
  <c r="L169" i="1" s="1"/>
  <c r="K169" i="1" s="1"/>
  <c r="AH168" i="1"/>
  <c r="AK168" i="1" s="1"/>
  <c r="AA168" i="1"/>
  <c r="W168" i="1"/>
  <c r="X168" i="1" s="1"/>
  <c r="T168" i="1"/>
  <c r="H168" i="1"/>
  <c r="I168" i="1" s="1"/>
  <c r="L168" i="1" s="1"/>
  <c r="K168" i="1" s="1"/>
  <c r="AK167" i="1"/>
  <c r="AA167" i="1"/>
  <c r="W167" i="1"/>
  <c r="X167" i="1" s="1"/>
  <c r="T167" i="1"/>
  <c r="Q167" i="1"/>
  <c r="H167" i="1"/>
  <c r="I167" i="1" s="1"/>
  <c r="L167" i="1" s="1"/>
  <c r="K167" i="1" s="1"/>
  <c r="AK166" i="1"/>
  <c r="AA166" i="1"/>
  <c r="W166" i="1"/>
  <c r="X166" i="1" s="1"/>
  <c r="T166" i="1"/>
  <c r="Q166" i="1"/>
  <c r="H166" i="1"/>
  <c r="I166" i="1" s="1"/>
  <c r="L166" i="1" s="1"/>
  <c r="K166" i="1" s="1"/>
  <c r="AK165" i="1"/>
  <c r="AA165" i="1"/>
  <c r="W165" i="1"/>
  <c r="X165" i="1" s="1"/>
  <c r="T165" i="1"/>
  <c r="H165" i="1"/>
  <c r="I165" i="1" s="1"/>
  <c r="L165" i="1" s="1"/>
  <c r="K165" i="1" s="1"/>
  <c r="AK164" i="1"/>
  <c r="AA164" i="1"/>
  <c r="W164" i="1"/>
  <c r="X164" i="1" s="1"/>
  <c r="T164" i="1"/>
  <c r="I164" i="1"/>
  <c r="L164" i="1" s="1"/>
  <c r="K164" i="1" s="1"/>
  <c r="H164" i="1"/>
  <c r="AK163" i="1"/>
  <c r="AA163" i="1"/>
  <c r="X163" i="1"/>
  <c r="W163" i="1"/>
  <c r="T163" i="1"/>
  <c r="O163" i="1"/>
  <c r="H163" i="1" s="1"/>
  <c r="I163" i="1" s="1"/>
  <c r="L163" i="1" s="1"/>
  <c r="K163" i="1" s="1"/>
  <c r="AK162" i="1"/>
  <c r="AA162" i="1"/>
  <c r="X162" i="1"/>
  <c r="W162" i="1"/>
  <c r="T162" i="1"/>
  <c r="H162" i="1"/>
  <c r="I162" i="1" s="1"/>
  <c r="L162" i="1" s="1"/>
  <c r="K162" i="1" s="1"/>
  <c r="AH161" i="1"/>
  <c r="AK161" i="1" s="1"/>
  <c r="AF161" i="1"/>
  <c r="AA161" i="1"/>
  <c r="S161" i="1"/>
  <c r="T161" i="1" s="1"/>
  <c r="O161" i="1"/>
  <c r="H161" i="1"/>
  <c r="I161" i="1" s="1"/>
  <c r="L161" i="1" s="1"/>
  <c r="K161" i="1" s="1"/>
  <c r="AH160" i="1"/>
  <c r="AK160" i="1" s="1"/>
  <c r="AA160" i="1"/>
  <c r="W160" i="1"/>
  <c r="X160" i="1" s="1"/>
  <c r="T160" i="1"/>
  <c r="H160" i="1"/>
  <c r="I160" i="1" s="1"/>
  <c r="L160" i="1" s="1"/>
  <c r="K160" i="1" s="1"/>
  <c r="AK159" i="1"/>
  <c r="AA159" i="1"/>
  <c r="W159" i="1"/>
  <c r="X159" i="1" s="1"/>
  <c r="T159" i="1"/>
  <c r="H159" i="1"/>
  <c r="I159" i="1" s="1"/>
  <c r="L159" i="1" s="1"/>
  <c r="K159" i="1" s="1"/>
  <c r="AK158" i="1"/>
  <c r="AA158" i="1"/>
  <c r="W158" i="1"/>
  <c r="X158" i="1" s="1"/>
  <c r="T158" i="1"/>
  <c r="H158" i="1"/>
  <c r="I158" i="1" s="1"/>
  <c r="L158" i="1" s="1"/>
  <c r="K158" i="1" s="1"/>
  <c r="AK157" i="1"/>
  <c r="AA157" i="1"/>
  <c r="W157" i="1"/>
  <c r="X157" i="1" s="1"/>
  <c r="T157" i="1"/>
  <c r="I157" i="1"/>
  <c r="L157" i="1" s="1"/>
  <c r="K157" i="1" s="1"/>
  <c r="AF156" i="1"/>
  <c r="AH156" i="1" s="1"/>
  <c r="AA156" i="1"/>
  <c r="T156" i="1"/>
  <c r="S156" i="1"/>
  <c r="O156" i="1"/>
  <c r="H156" i="1"/>
  <c r="I156" i="1" s="1"/>
  <c r="L156" i="1" s="1"/>
  <c r="K156" i="1" s="1"/>
  <c r="AK155" i="1"/>
  <c r="AA155" i="1"/>
  <c r="W155" i="1"/>
  <c r="X155" i="1" s="1"/>
  <c r="T155" i="1"/>
  <c r="H155" i="1"/>
  <c r="I155" i="1" s="1"/>
  <c r="L155" i="1" s="1"/>
  <c r="K155" i="1" s="1"/>
  <c r="AK154" i="1"/>
  <c r="AA154" i="1"/>
  <c r="W154" i="1"/>
  <c r="X154" i="1" s="1"/>
  <c r="T154" i="1"/>
  <c r="K154" i="1"/>
  <c r="H154" i="1"/>
  <c r="I154" i="1" s="1"/>
  <c r="L154" i="1" s="1"/>
  <c r="AK153" i="1"/>
  <c r="AA153" i="1"/>
  <c r="W153" i="1"/>
  <c r="X153" i="1" s="1"/>
  <c r="T153" i="1"/>
  <c r="H153" i="1"/>
  <c r="I153" i="1" s="1"/>
  <c r="L153" i="1" s="1"/>
  <c r="K153" i="1" s="1"/>
  <c r="AK152" i="1"/>
  <c r="AA152" i="1"/>
  <c r="W152" i="1"/>
  <c r="X152" i="1" s="1"/>
  <c r="T152" i="1"/>
  <c r="H152" i="1"/>
  <c r="I152" i="1" s="1"/>
  <c r="L152" i="1" s="1"/>
  <c r="K152" i="1" s="1"/>
  <c r="AK151" i="1"/>
  <c r="AA151" i="1"/>
  <c r="W151" i="1"/>
  <c r="X151" i="1" s="1"/>
  <c r="T151" i="1"/>
  <c r="H151" i="1"/>
  <c r="I151" i="1" s="1"/>
  <c r="L151" i="1" s="1"/>
  <c r="K151" i="1" s="1"/>
  <c r="AK150" i="1"/>
  <c r="AA150" i="1"/>
  <c r="W150" i="1"/>
  <c r="X150" i="1" s="1"/>
  <c r="T150" i="1"/>
  <c r="K150" i="1"/>
  <c r="H150" i="1"/>
  <c r="I150" i="1" s="1"/>
  <c r="L150" i="1" s="1"/>
  <c r="AK149" i="1"/>
  <c r="AA149" i="1"/>
  <c r="W149" i="1"/>
  <c r="X149" i="1" s="1"/>
  <c r="T149" i="1"/>
  <c r="H149" i="1"/>
  <c r="I149" i="1" s="1"/>
  <c r="L149" i="1" s="1"/>
  <c r="K149" i="1" s="1"/>
  <c r="AK148" i="1"/>
  <c r="AA148" i="1"/>
  <c r="W148" i="1"/>
  <c r="X148" i="1" s="1"/>
  <c r="T148" i="1"/>
  <c r="H148" i="1"/>
  <c r="I148" i="1" s="1"/>
  <c r="L148" i="1" s="1"/>
  <c r="K148" i="1" s="1"/>
  <c r="AK147" i="1"/>
  <c r="AA147" i="1"/>
  <c r="W147" i="1"/>
  <c r="X147" i="1" s="1"/>
  <c r="T147" i="1"/>
  <c r="H147" i="1"/>
  <c r="I147" i="1" s="1"/>
  <c r="L147" i="1" s="1"/>
  <c r="K147" i="1" s="1"/>
  <c r="AF146" i="1"/>
  <c r="AH146" i="1" s="1"/>
  <c r="W146" i="1" s="1"/>
  <c r="X146" i="1" s="1"/>
  <c r="AA146" i="1"/>
  <c r="S146" i="1"/>
  <c r="T146" i="1" s="1"/>
  <c r="O146" i="1"/>
  <c r="H146" i="1" s="1"/>
  <c r="I146" i="1" s="1"/>
  <c r="L146" i="1" s="1"/>
  <c r="K146" i="1" s="1"/>
  <c r="AF145" i="1"/>
  <c r="AH145" i="1" s="1"/>
  <c r="AK145" i="1" s="1"/>
  <c r="AA145" i="1"/>
  <c r="S145" i="1"/>
  <c r="T145" i="1" s="1"/>
  <c r="O145" i="1"/>
  <c r="H145" i="1" s="1"/>
  <c r="I145" i="1" s="1"/>
  <c r="L145" i="1" s="1"/>
  <c r="K145" i="1" s="1"/>
  <c r="AK144" i="1"/>
  <c r="AA144" i="1"/>
  <c r="X144" i="1"/>
  <c r="W144" i="1"/>
  <c r="T144" i="1"/>
  <c r="H144" i="1"/>
  <c r="I144" i="1" s="1"/>
  <c r="L144" i="1" s="1"/>
  <c r="K144" i="1" s="1"/>
  <c r="AH143" i="1"/>
  <c r="AA143" i="1"/>
  <c r="T143" i="1"/>
  <c r="K143" i="1"/>
  <c r="H143" i="1"/>
  <c r="I143" i="1" s="1"/>
  <c r="L143" i="1" s="1"/>
  <c r="AK142" i="1"/>
  <c r="AA142" i="1"/>
  <c r="W142" i="1"/>
  <c r="X142" i="1" s="1"/>
  <c r="T142" i="1"/>
  <c r="Q142" i="1"/>
  <c r="H142" i="1"/>
  <c r="I142" i="1" s="1"/>
  <c r="L142" i="1" s="1"/>
  <c r="K142" i="1" s="1"/>
  <c r="AK141" i="1"/>
  <c r="AA141" i="1"/>
  <c r="W141" i="1"/>
  <c r="X141" i="1" s="1"/>
  <c r="T141" i="1"/>
  <c r="I141" i="1"/>
  <c r="L141" i="1" s="1"/>
  <c r="K141" i="1" s="1"/>
  <c r="H141" i="1"/>
  <c r="AK140" i="1"/>
  <c r="AA140" i="1"/>
  <c r="X140" i="1"/>
  <c r="W140" i="1"/>
  <c r="T140" i="1"/>
  <c r="H140" i="1"/>
  <c r="I140" i="1" s="1"/>
  <c r="L140" i="1" s="1"/>
  <c r="K140" i="1" s="1"/>
  <c r="AK139" i="1"/>
  <c r="AA139" i="1"/>
  <c r="W139" i="1"/>
  <c r="X139" i="1" s="1"/>
  <c r="T139" i="1"/>
  <c r="I139" i="1"/>
  <c r="L139" i="1" s="1"/>
  <c r="K139" i="1" s="1"/>
  <c r="H139" i="1"/>
  <c r="AK138" i="1"/>
  <c r="AA138" i="1"/>
  <c r="X138" i="1"/>
  <c r="W138" i="1"/>
  <c r="T138" i="1"/>
  <c r="H138" i="1"/>
  <c r="I138" i="1" s="1"/>
  <c r="L138" i="1" s="1"/>
  <c r="K138" i="1" s="1"/>
  <c r="AK137" i="1"/>
  <c r="AA137" i="1"/>
  <c r="W137" i="1"/>
  <c r="X137" i="1" s="1"/>
  <c r="T137" i="1"/>
  <c r="I137" i="1"/>
  <c r="L137" i="1" s="1"/>
  <c r="K137" i="1" s="1"/>
  <c r="H137" i="1"/>
  <c r="AK136" i="1"/>
  <c r="AA136" i="1"/>
  <c r="X136" i="1"/>
  <c r="W136" i="1"/>
  <c r="T136" i="1"/>
  <c r="H136" i="1"/>
  <c r="I136" i="1" s="1"/>
  <c r="L136" i="1" s="1"/>
  <c r="K136" i="1" s="1"/>
  <c r="AK135" i="1"/>
  <c r="AA135" i="1"/>
  <c r="W135" i="1"/>
  <c r="X135" i="1" s="1"/>
  <c r="T135" i="1"/>
  <c r="I135" i="1"/>
  <c r="L135" i="1" s="1"/>
  <c r="K135" i="1" s="1"/>
  <c r="H135" i="1"/>
  <c r="AK134" i="1"/>
  <c r="AA134" i="1"/>
  <c r="X134" i="1"/>
  <c r="W134" i="1"/>
  <c r="T134" i="1"/>
  <c r="H134" i="1"/>
  <c r="I134" i="1" s="1"/>
  <c r="L134" i="1" s="1"/>
  <c r="K134" i="1" s="1"/>
  <c r="AK133" i="1"/>
  <c r="AA133" i="1"/>
  <c r="W133" i="1"/>
  <c r="X133" i="1" s="1"/>
  <c r="T133" i="1"/>
  <c r="I133" i="1"/>
  <c r="L133" i="1" s="1"/>
  <c r="K133" i="1" s="1"/>
  <c r="H133" i="1"/>
  <c r="AK132" i="1"/>
  <c r="AA132" i="1"/>
  <c r="X132" i="1"/>
  <c r="W132" i="1"/>
  <c r="T132" i="1"/>
  <c r="H132" i="1"/>
  <c r="I132" i="1" s="1"/>
  <c r="L132" i="1" s="1"/>
  <c r="K132" i="1" s="1"/>
  <c r="AK131" i="1"/>
  <c r="AA131" i="1"/>
  <c r="W131" i="1"/>
  <c r="X131" i="1" s="1"/>
  <c r="T131" i="1"/>
  <c r="I131" i="1"/>
  <c r="L131" i="1" s="1"/>
  <c r="K131" i="1" s="1"/>
  <c r="H131" i="1"/>
  <c r="AK130" i="1"/>
  <c r="AA130" i="1"/>
  <c r="X130" i="1"/>
  <c r="W130" i="1"/>
  <c r="T130" i="1"/>
  <c r="Q130" i="1"/>
  <c r="H130" i="1"/>
  <c r="I130" i="1" s="1"/>
  <c r="L130" i="1" s="1"/>
  <c r="K130" i="1" s="1"/>
  <c r="AK129" i="1"/>
  <c r="AA129" i="1"/>
  <c r="W129" i="1"/>
  <c r="X129" i="1" s="1"/>
  <c r="T129" i="1"/>
  <c r="K129" i="1"/>
  <c r="H129" i="1"/>
  <c r="I129" i="1" s="1"/>
  <c r="L129" i="1" s="1"/>
  <c r="AK128" i="1"/>
  <c r="AA128" i="1"/>
  <c r="W128" i="1"/>
  <c r="X128" i="1" s="1"/>
  <c r="T128" i="1"/>
  <c r="I128" i="1"/>
  <c r="L128" i="1" s="1"/>
  <c r="K128" i="1" s="1"/>
  <c r="H128" i="1"/>
  <c r="AK127" i="1"/>
  <c r="AA127" i="1"/>
  <c r="W127" i="1"/>
  <c r="X127" i="1" s="1"/>
  <c r="T127" i="1"/>
  <c r="H127" i="1"/>
  <c r="I127" i="1" s="1"/>
  <c r="L127" i="1" s="1"/>
  <c r="K127" i="1" s="1"/>
  <c r="AK126" i="1"/>
  <c r="AA126" i="1"/>
  <c r="W126" i="1"/>
  <c r="X126" i="1" s="1"/>
  <c r="T126" i="1"/>
  <c r="Q126" i="1"/>
  <c r="H126" i="1"/>
  <c r="I126" i="1" s="1"/>
  <c r="L126" i="1" s="1"/>
  <c r="K126" i="1" s="1"/>
  <c r="AK125" i="1"/>
  <c r="AA125" i="1"/>
  <c r="W125" i="1"/>
  <c r="X125" i="1" s="1"/>
  <c r="T125" i="1"/>
  <c r="Q125" i="1"/>
  <c r="H125" i="1"/>
  <c r="I125" i="1" s="1"/>
  <c r="L125" i="1" s="1"/>
  <c r="K125" i="1" s="1"/>
  <c r="AK124" i="1"/>
  <c r="AA124" i="1"/>
  <c r="W124" i="1"/>
  <c r="X124" i="1" s="1"/>
  <c r="T124" i="1"/>
  <c r="H124" i="1"/>
  <c r="I124" i="1" s="1"/>
  <c r="L124" i="1" s="1"/>
  <c r="K124" i="1" s="1"/>
  <c r="AK123" i="1"/>
  <c r="AA123" i="1"/>
  <c r="W123" i="1"/>
  <c r="X123" i="1" s="1"/>
  <c r="T123" i="1"/>
  <c r="H123" i="1"/>
  <c r="I123" i="1" s="1"/>
  <c r="L123" i="1" s="1"/>
  <c r="K123" i="1" s="1"/>
  <c r="AK122" i="1"/>
  <c r="AA122" i="1"/>
  <c r="W122" i="1"/>
  <c r="X122" i="1" s="1"/>
  <c r="T122" i="1"/>
  <c r="H122" i="1"/>
  <c r="I122" i="1" s="1"/>
  <c r="L122" i="1" s="1"/>
  <c r="K122" i="1" s="1"/>
  <c r="AK121" i="1"/>
  <c r="AA121" i="1"/>
  <c r="W121" i="1"/>
  <c r="X121" i="1" s="1"/>
  <c r="T121" i="1"/>
  <c r="I121" i="1"/>
  <c r="L121" i="1" s="1"/>
  <c r="K121" i="1" s="1"/>
  <c r="H121" i="1"/>
  <c r="AK120" i="1"/>
  <c r="AA120" i="1"/>
  <c r="X120" i="1"/>
  <c r="W120" i="1"/>
  <c r="T120" i="1"/>
  <c r="I120" i="1"/>
  <c r="L120" i="1" s="1"/>
  <c r="K120" i="1" s="1"/>
  <c r="H120" i="1"/>
  <c r="AK119" i="1"/>
  <c r="AA119" i="1"/>
  <c r="X119" i="1"/>
  <c r="W119" i="1"/>
  <c r="T119" i="1"/>
  <c r="H119" i="1"/>
  <c r="I119" i="1" s="1"/>
  <c r="L119" i="1" s="1"/>
  <c r="K119" i="1" s="1"/>
  <c r="AK118" i="1"/>
  <c r="AA118" i="1"/>
  <c r="W118" i="1"/>
  <c r="X118" i="1" s="1"/>
  <c r="T118" i="1"/>
  <c r="I118" i="1"/>
  <c r="L118" i="1" s="1"/>
  <c r="K118" i="1" s="1"/>
  <c r="H118" i="1"/>
  <c r="AK117" i="1"/>
  <c r="AA117" i="1"/>
  <c r="X117" i="1"/>
  <c r="W117" i="1"/>
  <c r="T117" i="1"/>
  <c r="H117" i="1"/>
  <c r="I117" i="1" s="1"/>
  <c r="L117" i="1" s="1"/>
  <c r="K117" i="1" s="1"/>
  <c r="AK116" i="1"/>
  <c r="AA116" i="1"/>
  <c r="W116" i="1"/>
  <c r="X116" i="1" s="1"/>
  <c r="T116" i="1"/>
  <c r="H116" i="1"/>
  <c r="I116" i="1" s="1"/>
  <c r="L116" i="1" s="1"/>
  <c r="K116" i="1" s="1"/>
  <c r="AK115" i="1"/>
  <c r="AA115" i="1"/>
  <c r="W115" i="1"/>
  <c r="X115" i="1" s="1"/>
  <c r="T115" i="1"/>
  <c r="Q115" i="1"/>
  <c r="H115" i="1"/>
  <c r="I115" i="1" s="1"/>
  <c r="L115" i="1" s="1"/>
  <c r="K115" i="1" s="1"/>
  <c r="AK114" i="1"/>
  <c r="AH114" i="1"/>
  <c r="W114" i="1" s="1"/>
  <c r="X114" i="1" s="1"/>
  <c r="AA114" i="1"/>
  <c r="T114" i="1"/>
  <c r="H114" i="1"/>
  <c r="I114" i="1" s="1"/>
  <c r="L114" i="1" s="1"/>
  <c r="K114" i="1" s="1"/>
  <c r="AK113" i="1"/>
  <c r="AA113" i="1"/>
  <c r="W113" i="1"/>
  <c r="X113" i="1" s="1"/>
  <c r="T113" i="1"/>
  <c r="H113" i="1"/>
  <c r="I113" i="1" s="1"/>
  <c r="L113" i="1" s="1"/>
  <c r="K113" i="1" s="1"/>
  <c r="AK112" i="1"/>
  <c r="AA112" i="1"/>
  <c r="W112" i="1"/>
  <c r="X112" i="1" s="1"/>
  <c r="T112" i="1"/>
  <c r="H112" i="1"/>
  <c r="I112" i="1" s="1"/>
  <c r="L112" i="1" s="1"/>
  <c r="K112" i="1" s="1"/>
  <c r="AK111" i="1"/>
  <c r="AA111" i="1"/>
  <c r="W111" i="1"/>
  <c r="X111" i="1" s="1"/>
  <c r="T111" i="1"/>
  <c r="H111" i="1"/>
  <c r="I111" i="1" s="1"/>
  <c r="L111" i="1" s="1"/>
  <c r="K111" i="1" s="1"/>
  <c r="T110" i="1"/>
  <c r="I110" i="1"/>
  <c r="L110" i="1" s="1"/>
  <c r="K110" i="1" s="1"/>
  <c r="H110" i="1"/>
  <c r="AK109" i="1"/>
  <c r="AA109" i="1"/>
  <c r="W109" i="1"/>
  <c r="X109" i="1" s="1"/>
  <c r="T109" i="1"/>
  <c r="Q109" i="1"/>
  <c r="H109" i="1"/>
  <c r="I109" i="1" s="1"/>
  <c r="L109" i="1" s="1"/>
  <c r="K109" i="1" s="1"/>
  <c r="AK108" i="1"/>
  <c r="AA108" i="1"/>
  <c r="W108" i="1"/>
  <c r="X108" i="1" s="1"/>
  <c r="T108" i="1"/>
  <c r="H108" i="1"/>
  <c r="I108" i="1" s="1"/>
  <c r="L108" i="1" s="1"/>
  <c r="K108" i="1" s="1"/>
  <c r="AK107" i="1"/>
  <c r="AA107" i="1"/>
  <c r="W107" i="1"/>
  <c r="X107" i="1" s="1"/>
  <c r="T107" i="1"/>
  <c r="H107" i="1"/>
  <c r="I107" i="1" s="1"/>
  <c r="L107" i="1" s="1"/>
  <c r="K107" i="1" s="1"/>
  <c r="AK106" i="1"/>
  <c r="AA106" i="1"/>
  <c r="W106" i="1"/>
  <c r="X106" i="1" s="1"/>
  <c r="T106" i="1"/>
  <c r="H106" i="1"/>
  <c r="I106" i="1" s="1"/>
  <c r="L106" i="1" s="1"/>
  <c r="K106" i="1" s="1"/>
  <c r="AK105" i="1"/>
  <c r="AA105" i="1"/>
  <c r="W105" i="1"/>
  <c r="X105" i="1" s="1"/>
  <c r="T105" i="1"/>
  <c r="H105" i="1"/>
  <c r="I105" i="1" s="1"/>
  <c r="L105" i="1" s="1"/>
  <c r="K105" i="1" s="1"/>
  <c r="AK104" i="1"/>
  <c r="AA104" i="1"/>
  <c r="W104" i="1"/>
  <c r="X104" i="1" s="1"/>
  <c r="T104" i="1"/>
  <c r="H104" i="1"/>
  <c r="I104" i="1" s="1"/>
  <c r="L104" i="1" s="1"/>
  <c r="K104" i="1" s="1"/>
  <c r="AK103" i="1"/>
  <c r="AA103" i="1"/>
  <c r="W103" i="1"/>
  <c r="X103" i="1" s="1"/>
  <c r="T103" i="1"/>
  <c r="H103" i="1"/>
  <c r="I103" i="1" s="1"/>
  <c r="L103" i="1" s="1"/>
  <c r="K103" i="1" s="1"/>
  <c r="AK102" i="1"/>
  <c r="AA102" i="1"/>
  <c r="W102" i="1"/>
  <c r="X102" i="1" s="1"/>
  <c r="T102" i="1"/>
  <c r="I102" i="1"/>
  <c r="L102" i="1" s="1"/>
  <c r="K102" i="1" s="1"/>
  <c r="T101" i="1"/>
  <c r="Q101" i="1"/>
  <c r="O101" i="1"/>
  <c r="H101" i="1"/>
  <c r="I101" i="1" s="1"/>
  <c r="L101" i="1" s="1"/>
  <c r="K101" i="1" s="1"/>
  <c r="AK100" i="1"/>
  <c r="AA100" i="1"/>
  <c r="W100" i="1"/>
  <c r="X100" i="1" s="1"/>
  <c r="T100" i="1"/>
  <c r="Q100" i="1"/>
  <c r="H100" i="1"/>
  <c r="I100" i="1" s="1"/>
  <c r="L100" i="1" s="1"/>
  <c r="K100" i="1" s="1"/>
  <c r="AH99" i="1"/>
  <c r="AK99" i="1" s="1"/>
  <c r="AA99" i="1"/>
  <c r="T99" i="1"/>
  <c r="H99" i="1"/>
  <c r="I99" i="1" s="1"/>
  <c r="L99" i="1" s="1"/>
  <c r="K99" i="1" s="1"/>
  <c r="AK98" i="1"/>
  <c r="AA98" i="1"/>
  <c r="W98" i="1"/>
  <c r="X98" i="1" s="1"/>
  <c r="T98" i="1"/>
  <c r="H98" i="1"/>
  <c r="I98" i="1" s="1"/>
  <c r="L98" i="1" s="1"/>
  <c r="K98" i="1" s="1"/>
  <c r="AK97" i="1"/>
  <c r="AA97" i="1"/>
  <c r="W97" i="1"/>
  <c r="X97" i="1" s="1"/>
  <c r="T97" i="1"/>
  <c r="H97" i="1"/>
  <c r="I97" i="1" s="1"/>
  <c r="L97" i="1" s="1"/>
  <c r="K97" i="1" s="1"/>
  <c r="AK96" i="1"/>
  <c r="AA96" i="1"/>
  <c r="W96" i="1"/>
  <c r="X96" i="1" s="1"/>
  <c r="T96" i="1"/>
  <c r="H96" i="1"/>
  <c r="I96" i="1" s="1"/>
  <c r="L96" i="1" s="1"/>
  <c r="K96" i="1" s="1"/>
  <c r="AK95" i="1"/>
  <c r="AA95" i="1"/>
  <c r="W95" i="1"/>
  <c r="X95" i="1" s="1"/>
  <c r="T95" i="1"/>
  <c r="H95" i="1"/>
  <c r="I95" i="1" s="1"/>
  <c r="L95" i="1" s="1"/>
  <c r="K95" i="1" s="1"/>
  <c r="AK94" i="1"/>
  <c r="AA94" i="1"/>
  <c r="W94" i="1"/>
  <c r="X94" i="1" s="1"/>
  <c r="T94" i="1"/>
  <c r="H94" i="1"/>
  <c r="I94" i="1" s="1"/>
  <c r="L94" i="1" s="1"/>
  <c r="K94" i="1" s="1"/>
  <c r="AK93" i="1"/>
  <c r="AA93" i="1"/>
  <c r="W93" i="1"/>
  <c r="X93" i="1" s="1"/>
  <c r="T93" i="1"/>
  <c r="H93" i="1"/>
  <c r="I93" i="1" s="1"/>
  <c r="L93" i="1" s="1"/>
  <c r="K93" i="1" s="1"/>
  <c r="AK92" i="1"/>
  <c r="AA92" i="1"/>
  <c r="W92" i="1"/>
  <c r="X92" i="1" s="1"/>
  <c r="T92" i="1"/>
  <c r="Q92" i="1"/>
  <c r="H92" i="1"/>
  <c r="I92" i="1" s="1"/>
  <c r="L92" i="1" s="1"/>
  <c r="K92" i="1" s="1"/>
  <c r="AH91" i="1"/>
  <c r="AK91" i="1" s="1"/>
  <c r="AA91" i="1"/>
  <c r="T91" i="1"/>
  <c r="H91" i="1"/>
  <c r="I91" i="1" s="1"/>
  <c r="L91" i="1" s="1"/>
  <c r="K91" i="1" s="1"/>
  <c r="AK90" i="1"/>
  <c r="AA90" i="1"/>
  <c r="W90" i="1"/>
  <c r="X90" i="1" s="1"/>
  <c r="T90" i="1"/>
  <c r="I90" i="1"/>
  <c r="L90" i="1" s="1"/>
  <c r="K90" i="1" s="1"/>
  <c r="H90" i="1"/>
  <c r="AK89" i="1"/>
  <c r="AA89" i="1"/>
  <c r="X89" i="1"/>
  <c r="W89" i="1"/>
  <c r="T89" i="1"/>
  <c r="H89" i="1"/>
  <c r="I89" i="1" s="1"/>
  <c r="L89" i="1" s="1"/>
  <c r="K89" i="1" s="1"/>
  <c r="AK88" i="1"/>
  <c r="AA88" i="1"/>
  <c r="W88" i="1"/>
  <c r="X88" i="1" s="1"/>
  <c r="T88" i="1"/>
  <c r="Q88" i="1"/>
  <c r="H88" i="1"/>
  <c r="I88" i="1" s="1"/>
  <c r="L88" i="1" s="1"/>
  <c r="K88" i="1" s="1"/>
  <c r="AK87" i="1"/>
  <c r="AA87" i="1"/>
  <c r="W87" i="1"/>
  <c r="X87" i="1" s="1"/>
  <c r="T87" i="1"/>
  <c r="H87" i="1"/>
  <c r="I87" i="1" s="1"/>
  <c r="L87" i="1" s="1"/>
  <c r="K87" i="1" s="1"/>
  <c r="AK86" i="1"/>
  <c r="AH86" i="1"/>
  <c r="AA86" i="1"/>
  <c r="W86" i="1"/>
  <c r="X86" i="1" s="1"/>
  <c r="T86" i="1"/>
  <c r="H86" i="1"/>
  <c r="I86" i="1" s="1"/>
  <c r="L86" i="1" s="1"/>
  <c r="K86" i="1" s="1"/>
  <c r="AK85" i="1"/>
  <c r="AA85" i="1"/>
  <c r="W85" i="1"/>
  <c r="X85" i="1" s="1"/>
  <c r="T85" i="1"/>
  <c r="H85" i="1"/>
  <c r="I85" i="1" s="1"/>
  <c r="L85" i="1" s="1"/>
  <c r="K85" i="1" s="1"/>
  <c r="AK84" i="1"/>
  <c r="AA84" i="1"/>
  <c r="W84" i="1"/>
  <c r="X84" i="1" s="1"/>
  <c r="T84" i="1"/>
  <c r="H84" i="1"/>
  <c r="I84" i="1" s="1"/>
  <c r="L84" i="1" s="1"/>
  <c r="K84" i="1" s="1"/>
  <c r="AK83" i="1"/>
  <c r="AA83" i="1"/>
  <c r="W83" i="1"/>
  <c r="X83" i="1" s="1"/>
  <c r="T83" i="1"/>
  <c r="O83" i="1"/>
  <c r="H83" i="1" s="1"/>
  <c r="I83" i="1" s="1"/>
  <c r="L83" i="1" s="1"/>
  <c r="K83" i="1" s="1"/>
  <c r="AK82" i="1"/>
  <c r="AA82" i="1"/>
  <c r="W82" i="1"/>
  <c r="X82" i="1" s="1"/>
  <c r="T82" i="1"/>
  <c r="H82" i="1"/>
  <c r="I82" i="1" s="1"/>
  <c r="L82" i="1" s="1"/>
  <c r="K82" i="1" s="1"/>
  <c r="AK81" i="1"/>
  <c r="AA81" i="1"/>
  <c r="W81" i="1"/>
  <c r="X81" i="1" s="1"/>
  <c r="T81" i="1"/>
  <c r="Q81" i="1"/>
  <c r="H81" i="1"/>
  <c r="I81" i="1" s="1"/>
  <c r="L81" i="1" s="1"/>
  <c r="K81" i="1" s="1"/>
  <c r="AK80" i="1"/>
  <c r="AF80" i="1"/>
  <c r="AA80" i="1"/>
  <c r="W80" i="1"/>
  <c r="X80" i="1" s="1"/>
  <c r="S80" i="1"/>
  <c r="T80" i="1" s="1"/>
  <c r="O80" i="1"/>
  <c r="H80" i="1"/>
  <c r="I80" i="1" s="1"/>
  <c r="L80" i="1" s="1"/>
  <c r="K80" i="1" s="1"/>
  <c r="AK79" i="1"/>
  <c r="AA79" i="1"/>
  <c r="W79" i="1"/>
  <c r="X79" i="1" s="1"/>
  <c r="T79" i="1"/>
  <c r="H79" i="1"/>
  <c r="I79" i="1" s="1"/>
  <c r="L79" i="1" s="1"/>
  <c r="K79" i="1" s="1"/>
  <c r="AK78" i="1"/>
  <c r="AA78" i="1"/>
  <c r="W78" i="1"/>
  <c r="X78" i="1" s="1"/>
  <c r="T78" i="1"/>
  <c r="H78" i="1"/>
  <c r="I78" i="1" s="1"/>
  <c r="L78" i="1" s="1"/>
  <c r="K78" i="1" s="1"/>
  <c r="S77" i="1"/>
  <c r="T77" i="1" s="1"/>
  <c r="H77" i="1"/>
  <c r="I77" i="1" s="1"/>
  <c r="L77" i="1" s="1"/>
  <c r="K77" i="1" s="1"/>
  <c r="T76" i="1"/>
  <c r="H76" i="1"/>
  <c r="I76" i="1" s="1"/>
  <c r="L76" i="1" s="1"/>
  <c r="K76" i="1" s="1"/>
  <c r="AK75" i="1"/>
  <c r="AA75" i="1"/>
  <c r="W75" i="1"/>
  <c r="X75" i="1" s="1"/>
  <c r="T75" i="1"/>
  <c r="H75" i="1"/>
  <c r="I75" i="1" s="1"/>
  <c r="L75" i="1" s="1"/>
  <c r="K75" i="1" s="1"/>
  <c r="AK74" i="1"/>
  <c r="AA74" i="1"/>
  <c r="W74" i="1"/>
  <c r="X74" i="1" s="1"/>
  <c r="T74" i="1"/>
  <c r="H74" i="1"/>
  <c r="I74" i="1" s="1"/>
  <c r="L74" i="1" s="1"/>
  <c r="K74" i="1" s="1"/>
  <c r="AK73" i="1"/>
  <c r="AA73" i="1"/>
  <c r="W73" i="1"/>
  <c r="X73" i="1" s="1"/>
  <c r="T73" i="1"/>
  <c r="H73" i="1"/>
  <c r="I73" i="1" s="1"/>
  <c r="L73" i="1" s="1"/>
  <c r="K73" i="1" s="1"/>
  <c r="AK72" i="1"/>
  <c r="AA72" i="1"/>
  <c r="W72" i="1"/>
  <c r="X72" i="1" s="1"/>
  <c r="T72" i="1"/>
  <c r="I72" i="1"/>
  <c r="L72" i="1" s="1"/>
  <c r="K72" i="1" s="1"/>
  <c r="H72" i="1"/>
  <c r="AK71" i="1"/>
  <c r="AA71" i="1"/>
  <c r="X71" i="1"/>
  <c r="W71" i="1"/>
  <c r="T71" i="1"/>
  <c r="H71" i="1"/>
  <c r="I71" i="1" s="1"/>
  <c r="L71" i="1" s="1"/>
  <c r="K71" i="1" s="1"/>
  <c r="AK70" i="1"/>
  <c r="AA70" i="1"/>
  <c r="W70" i="1"/>
  <c r="X70" i="1" s="1"/>
  <c r="T70" i="1"/>
  <c r="O70" i="1"/>
  <c r="H70" i="1" s="1"/>
  <c r="I70" i="1" s="1"/>
  <c r="L70" i="1" s="1"/>
  <c r="K70" i="1" s="1"/>
  <c r="AK69" i="1"/>
  <c r="AA69" i="1"/>
  <c r="W69" i="1"/>
  <c r="X69" i="1" s="1"/>
  <c r="T69" i="1"/>
  <c r="H69" i="1"/>
  <c r="I69" i="1" s="1"/>
  <c r="L69" i="1" s="1"/>
  <c r="K69" i="1" s="1"/>
  <c r="AK68" i="1"/>
  <c r="AA68" i="1"/>
  <c r="W68" i="1"/>
  <c r="X68" i="1" s="1"/>
  <c r="T68" i="1"/>
  <c r="H68" i="1"/>
  <c r="I68" i="1" s="1"/>
  <c r="L68" i="1" s="1"/>
  <c r="K68" i="1" s="1"/>
  <c r="AK67" i="1"/>
  <c r="AA67" i="1"/>
  <c r="W67" i="1"/>
  <c r="X67" i="1" s="1"/>
  <c r="T67" i="1"/>
  <c r="H67" i="1"/>
  <c r="I67" i="1" s="1"/>
  <c r="L67" i="1" s="1"/>
  <c r="K67" i="1" s="1"/>
  <c r="AK66" i="1"/>
  <c r="AA66" i="1"/>
  <c r="W66" i="1"/>
  <c r="X66" i="1" s="1"/>
  <c r="T66" i="1"/>
  <c r="H66" i="1"/>
  <c r="I66" i="1" s="1"/>
  <c r="L66" i="1" s="1"/>
  <c r="K66" i="1" s="1"/>
  <c r="AK65" i="1"/>
  <c r="AA65" i="1"/>
  <c r="W65" i="1"/>
  <c r="X65" i="1" s="1"/>
  <c r="T65" i="1"/>
  <c r="I65" i="1"/>
  <c r="L65" i="1" s="1"/>
  <c r="K65" i="1" s="1"/>
  <c r="H65" i="1"/>
  <c r="AK64" i="1"/>
  <c r="AA64" i="1"/>
  <c r="X64" i="1"/>
  <c r="W64" i="1"/>
  <c r="T64" i="1"/>
  <c r="O64" i="1"/>
  <c r="I64" i="1"/>
  <c r="L64" i="1" s="1"/>
  <c r="K64" i="1" s="1"/>
  <c r="H64" i="1"/>
  <c r="AK63" i="1"/>
  <c r="AA63" i="1"/>
  <c r="X63" i="1"/>
  <c r="W63" i="1"/>
  <c r="T63" i="1"/>
  <c r="H63" i="1"/>
  <c r="I63" i="1" s="1"/>
  <c r="L63" i="1" s="1"/>
  <c r="K63" i="1" s="1"/>
  <c r="AK62" i="1"/>
  <c r="AA62" i="1"/>
  <c r="W62" i="1"/>
  <c r="X62" i="1" s="1"/>
  <c r="T62" i="1"/>
  <c r="Q62" i="1"/>
  <c r="H62" i="1"/>
  <c r="I62" i="1" s="1"/>
  <c r="L62" i="1" s="1"/>
  <c r="K62" i="1" s="1"/>
  <c r="AH61" i="1"/>
  <c r="AK61" i="1" s="1"/>
  <c r="AA61" i="1"/>
  <c r="T61" i="1"/>
  <c r="H61" i="1"/>
  <c r="I61" i="1" s="1"/>
  <c r="L61" i="1" s="1"/>
  <c r="K61" i="1" s="1"/>
  <c r="AK60" i="1"/>
  <c r="AA60" i="1"/>
  <c r="W60" i="1"/>
  <c r="X60" i="1" s="1"/>
  <c r="T60" i="1"/>
  <c r="I60" i="1"/>
  <c r="L60" i="1" s="1"/>
  <c r="K60" i="1" s="1"/>
  <c r="H60" i="1"/>
  <c r="AK59" i="1"/>
  <c r="AA59" i="1"/>
  <c r="X59" i="1"/>
  <c r="W59" i="1"/>
  <c r="T59" i="1"/>
  <c r="O59" i="1"/>
  <c r="H59" i="1" s="1"/>
  <c r="I59" i="1" s="1"/>
  <c r="L59" i="1" s="1"/>
  <c r="K59" i="1" s="1"/>
  <c r="AK58" i="1"/>
  <c r="AA58" i="1"/>
  <c r="W58" i="1"/>
  <c r="X58" i="1" s="1"/>
  <c r="T58" i="1"/>
  <c r="H58" i="1"/>
  <c r="I58" i="1" s="1"/>
  <c r="L58" i="1" s="1"/>
  <c r="K58" i="1" s="1"/>
  <c r="AK57" i="1"/>
  <c r="AA57" i="1"/>
  <c r="W57" i="1"/>
  <c r="X57" i="1" s="1"/>
  <c r="T57" i="1"/>
  <c r="H57" i="1"/>
  <c r="I57" i="1" s="1"/>
  <c r="L57" i="1" s="1"/>
  <c r="K57" i="1" s="1"/>
  <c r="AK56" i="1"/>
  <c r="AA56" i="1"/>
  <c r="W56" i="1"/>
  <c r="X56" i="1" s="1"/>
  <c r="T56" i="1"/>
  <c r="Q56" i="1"/>
  <c r="H56" i="1"/>
  <c r="I56" i="1" s="1"/>
  <c r="L56" i="1" s="1"/>
  <c r="K56" i="1" s="1"/>
  <c r="AK55" i="1"/>
  <c r="AA55" i="1"/>
  <c r="W55" i="1"/>
  <c r="X55" i="1" s="1"/>
  <c r="T55" i="1"/>
  <c r="H55" i="1"/>
  <c r="I55" i="1" s="1"/>
  <c r="L55" i="1" s="1"/>
  <c r="K55" i="1" s="1"/>
  <c r="AK54" i="1"/>
  <c r="AA54" i="1"/>
  <c r="W54" i="1"/>
  <c r="X54" i="1" s="1"/>
  <c r="T54" i="1"/>
  <c r="H54" i="1"/>
  <c r="I54" i="1" s="1"/>
  <c r="L54" i="1" s="1"/>
  <c r="K54" i="1" s="1"/>
  <c r="AK53" i="1"/>
  <c r="AA53" i="1"/>
  <c r="W53" i="1"/>
  <c r="X53" i="1" s="1"/>
  <c r="T53" i="1"/>
  <c r="H53" i="1"/>
  <c r="I53" i="1" s="1"/>
  <c r="L53" i="1" s="1"/>
  <c r="K53" i="1" s="1"/>
  <c r="AK52" i="1"/>
  <c r="AA52" i="1"/>
  <c r="W52" i="1"/>
  <c r="X52" i="1" s="1"/>
  <c r="T52" i="1"/>
  <c r="I52" i="1"/>
  <c r="L52" i="1" s="1"/>
  <c r="K52" i="1" s="1"/>
  <c r="H52" i="1"/>
  <c r="AK51" i="1"/>
  <c r="AA51" i="1"/>
  <c r="X51" i="1"/>
  <c r="W51" i="1"/>
  <c r="T51" i="1"/>
  <c r="H51" i="1"/>
  <c r="I51" i="1" s="1"/>
  <c r="L51" i="1" s="1"/>
  <c r="K51" i="1" s="1"/>
  <c r="AK50" i="1"/>
  <c r="AA50" i="1"/>
  <c r="W50" i="1"/>
  <c r="X50" i="1" s="1"/>
  <c r="T50" i="1"/>
  <c r="I50" i="1"/>
  <c r="L50" i="1" s="1"/>
  <c r="K50" i="1" s="1"/>
  <c r="AK49" i="1"/>
  <c r="AA49" i="1"/>
  <c r="W49" i="1"/>
  <c r="X49" i="1" s="1"/>
  <c r="T49" i="1"/>
  <c r="H49" i="1"/>
  <c r="I49" i="1" s="1"/>
  <c r="L49" i="1" s="1"/>
  <c r="K49" i="1" s="1"/>
  <c r="AK48" i="1"/>
  <c r="AA48" i="1"/>
  <c r="W48" i="1"/>
  <c r="X48" i="1" s="1"/>
  <c r="T48" i="1"/>
  <c r="H48" i="1"/>
  <c r="I48" i="1" s="1"/>
  <c r="L48" i="1" s="1"/>
  <c r="K48" i="1" s="1"/>
  <c r="AK47" i="1"/>
  <c r="AA47" i="1"/>
  <c r="W47" i="1"/>
  <c r="X47" i="1" s="1"/>
  <c r="T47" i="1"/>
  <c r="H47" i="1"/>
  <c r="I47" i="1" s="1"/>
  <c r="L47" i="1" s="1"/>
  <c r="K47" i="1" s="1"/>
  <c r="T46" i="1"/>
  <c r="I46" i="1"/>
  <c r="L46" i="1" s="1"/>
  <c r="K46" i="1" s="1"/>
  <c r="AK45" i="1"/>
  <c r="AA45" i="1"/>
  <c r="X45" i="1"/>
  <c r="W45" i="1"/>
  <c r="T45" i="1"/>
  <c r="H45" i="1"/>
  <c r="I45" i="1" s="1"/>
  <c r="L45" i="1" s="1"/>
  <c r="K45" i="1" s="1"/>
  <c r="AK44" i="1"/>
  <c r="AA44" i="1"/>
  <c r="W44" i="1"/>
  <c r="X44" i="1" s="1"/>
  <c r="T44" i="1"/>
  <c r="I44" i="1"/>
  <c r="L44" i="1" s="1"/>
  <c r="K44" i="1" s="1"/>
  <c r="H44" i="1"/>
  <c r="AK43" i="1"/>
  <c r="AA43" i="1"/>
  <c r="X43" i="1"/>
  <c r="W43" i="1"/>
  <c r="T43" i="1"/>
  <c r="H43" i="1"/>
  <c r="I43" i="1" s="1"/>
  <c r="L43" i="1" s="1"/>
  <c r="K43" i="1" s="1"/>
  <c r="AK42" i="1"/>
  <c r="AA42" i="1"/>
  <c r="W42" i="1"/>
  <c r="X42" i="1" s="1"/>
  <c r="T42" i="1"/>
  <c r="H42" i="1"/>
  <c r="I42" i="1" s="1"/>
  <c r="L42" i="1" s="1"/>
  <c r="K42" i="1" s="1"/>
  <c r="T41" i="1"/>
  <c r="H41" i="1"/>
  <c r="I41" i="1" s="1"/>
  <c r="L41" i="1" s="1"/>
  <c r="K41" i="1" s="1"/>
  <c r="T40" i="1"/>
  <c r="H40" i="1"/>
  <c r="I40" i="1" s="1"/>
  <c r="L40" i="1" s="1"/>
  <c r="K40" i="1" s="1"/>
  <c r="T39" i="1"/>
  <c r="H39" i="1"/>
  <c r="I39" i="1" s="1"/>
  <c r="L39" i="1" s="1"/>
  <c r="K39" i="1" s="1"/>
  <c r="AK38" i="1"/>
  <c r="AA38" i="1"/>
  <c r="W38" i="1"/>
  <c r="X38" i="1" s="1"/>
  <c r="T38" i="1"/>
  <c r="H38" i="1"/>
  <c r="I38" i="1" s="1"/>
  <c r="L38" i="1" s="1"/>
  <c r="K38" i="1" s="1"/>
  <c r="AK37" i="1"/>
  <c r="AA37" i="1"/>
  <c r="W37" i="1"/>
  <c r="X37" i="1" s="1"/>
  <c r="T37" i="1"/>
  <c r="H37" i="1"/>
  <c r="I37" i="1" s="1"/>
  <c r="L37" i="1" s="1"/>
  <c r="K37" i="1" s="1"/>
  <c r="AK36" i="1"/>
  <c r="AA36" i="1"/>
  <c r="W36" i="1"/>
  <c r="X36" i="1" s="1"/>
  <c r="T36" i="1"/>
  <c r="H36" i="1"/>
  <c r="I36" i="1" s="1"/>
  <c r="L36" i="1" s="1"/>
  <c r="K36" i="1" s="1"/>
  <c r="AK35" i="1"/>
  <c r="AA35" i="1"/>
  <c r="W35" i="1"/>
  <c r="X35" i="1" s="1"/>
  <c r="T35" i="1"/>
  <c r="H35" i="1"/>
  <c r="I35" i="1" s="1"/>
  <c r="L35" i="1" s="1"/>
  <c r="K35" i="1" s="1"/>
  <c r="AK34" i="1"/>
  <c r="AA34" i="1"/>
  <c r="W34" i="1"/>
  <c r="X34" i="1" s="1"/>
  <c r="T34" i="1"/>
  <c r="I34" i="1"/>
  <c r="L34" i="1" s="1"/>
  <c r="K34" i="1" s="1"/>
  <c r="H34" i="1"/>
  <c r="AK33" i="1"/>
  <c r="AA33" i="1"/>
  <c r="X33" i="1"/>
  <c r="W33" i="1"/>
  <c r="T33" i="1"/>
  <c r="H33" i="1"/>
  <c r="I33" i="1" s="1"/>
  <c r="L33" i="1" s="1"/>
  <c r="K33" i="1" s="1"/>
  <c r="AK32" i="1"/>
  <c r="AA32" i="1"/>
  <c r="W32" i="1"/>
  <c r="X32" i="1" s="1"/>
  <c r="T32" i="1"/>
  <c r="I32" i="1"/>
  <c r="L32" i="1" s="1"/>
  <c r="K32" i="1" s="1"/>
  <c r="H32" i="1"/>
  <c r="AK31" i="1"/>
  <c r="AA31" i="1"/>
  <c r="X31" i="1"/>
  <c r="W31" i="1"/>
  <c r="T31" i="1"/>
  <c r="H31" i="1"/>
  <c r="I31" i="1" s="1"/>
  <c r="L31" i="1" s="1"/>
  <c r="K31" i="1" s="1"/>
  <c r="AK30" i="1"/>
  <c r="AA30" i="1"/>
  <c r="W30" i="1"/>
  <c r="X30" i="1" s="1"/>
  <c r="T30" i="1"/>
  <c r="H30" i="1"/>
  <c r="I30" i="1" s="1"/>
  <c r="L30" i="1" s="1"/>
  <c r="K30" i="1" s="1"/>
  <c r="AK29" i="1"/>
  <c r="AA29" i="1"/>
  <c r="W29" i="1"/>
  <c r="X29" i="1" s="1"/>
  <c r="T29" i="1"/>
  <c r="H29" i="1"/>
  <c r="I29" i="1" s="1"/>
  <c r="L29" i="1" s="1"/>
  <c r="K29" i="1" s="1"/>
  <c r="AK28" i="1"/>
  <c r="AA28" i="1"/>
  <c r="W28" i="1"/>
  <c r="X28" i="1" s="1"/>
  <c r="T28" i="1"/>
  <c r="H28" i="1"/>
  <c r="I28" i="1" s="1"/>
  <c r="L28" i="1" s="1"/>
  <c r="K28" i="1" s="1"/>
  <c r="AK27" i="1"/>
  <c r="AA27" i="1"/>
  <c r="W27" i="1"/>
  <c r="X27" i="1" s="1"/>
  <c r="T27" i="1"/>
  <c r="H27" i="1"/>
  <c r="I27" i="1" s="1"/>
  <c r="L27" i="1" s="1"/>
  <c r="K27" i="1" s="1"/>
  <c r="AK26" i="1"/>
  <c r="AA26" i="1"/>
  <c r="W26" i="1"/>
  <c r="X26" i="1" s="1"/>
  <c r="T26" i="1"/>
  <c r="H26" i="1"/>
  <c r="I26" i="1" s="1"/>
  <c r="L26" i="1" s="1"/>
  <c r="K26" i="1" s="1"/>
  <c r="AK25" i="1"/>
  <c r="AA25" i="1"/>
  <c r="W25" i="1"/>
  <c r="X25" i="1" s="1"/>
  <c r="T25" i="1"/>
  <c r="O25" i="1"/>
  <c r="I25" i="1"/>
  <c r="L25" i="1" s="1"/>
  <c r="K25" i="1" s="1"/>
  <c r="AK24" i="1"/>
  <c r="AA24" i="1"/>
  <c r="W24" i="1"/>
  <c r="X24" i="1" s="1"/>
  <c r="T24" i="1"/>
  <c r="I24" i="1"/>
  <c r="L24" i="1" s="1"/>
  <c r="K24" i="1" s="1"/>
  <c r="AK23" i="1"/>
  <c r="AA23" i="1"/>
  <c r="W23" i="1"/>
  <c r="X23" i="1" s="1"/>
  <c r="T23" i="1"/>
  <c r="I23" i="1"/>
  <c r="L23" i="1" s="1"/>
  <c r="K23" i="1" s="1"/>
  <c r="H23" i="1"/>
  <c r="AK22" i="1"/>
  <c r="AA22" i="1"/>
  <c r="X22" i="1"/>
  <c r="W22" i="1"/>
  <c r="T22" i="1"/>
  <c r="H22" i="1"/>
  <c r="I22" i="1" s="1"/>
  <c r="L22" i="1" s="1"/>
  <c r="K22" i="1" s="1"/>
  <c r="AK21" i="1"/>
  <c r="AA21" i="1"/>
  <c r="W21" i="1"/>
  <c r="X21" i="1" s="1"/>
  <c r="T21" i="1"/>
  <c r="H21" i="1"/>
  <c r="I21" i="1" s="1"/>
  <c r="L21" i="1" s="1"/>
  <c r="K21" i="1" s="1"/>
  <c r="T20" i="1"/>
  <c r="H20" i="1"/>
  <c r="I20" i="1" s="1"/>
  <c r="L20" i="1" s="1"/>
  <c r="K20" i="1" s="1"/>
  <c r="AK19" i="1"/>
  <c r="AA19" i="1"/>
  <c r="W19" i="1"/>
  <c r="X19" i="1" s="1"/>
  <c r="T19" i="1"/>
  <c r="H19" i="1"/>
  <c r="I19" i="1" s="1"/>
  <c r="L19" i="1" s="1"/>
  <c r="K19" i="1" s="1"/>
  <c r="AK18" i="1"/>
  <c r="AA18" i="1"/>
  <c r="W18" i="1"/>
  <c r="X18" i="1" s="1"/>
  <c r="T18" i="1"/>
  <c r="H18" i="1"/>
  <c r="I18" i="1" s="1"/>
  <c r="L18" i="1" s="1"/>
  <c r="K18" i="1" s="1"/>
  <c r="AK17" i="1"/>
  <c r="AA17" i="1"/>
  <c r="W17" i="1"/>
  <c r="X17" i="1" s="1"/>
  <c r="T17" i="1"/>
  <c r="H17" i="1"/>
  <c r="I17" i="1" s="1"/>
  <c r="L17" i="1" s="1"/>
  <c r="K17" i="1" s="1"/>
  <c r="AK16" i="1"/>
  <c r="AK391" i="1" s="1"/>
  <c r="AA16" i="1"/>
  <c r="W16" i="1"/>
  <c r="X16" i="1" s="1"/>
  <c r="T16" i="1"/>
  <c r="H16" i="1"/>
  <c r="I16" i="1" s="1"/>
  <c r="L16" i="1" s="1"/>
  <c r="K16" i="1" s="1"/>
  <c r="AK15" i="1"/>
  <c r="AF15" i="1"/>
  <c r="AA15" i="1"/>
  <c r="W15" i="1"/>
  <c r="X15" i="1" s="1"/>
  <c r="T15" i="1"/>
  <c r="S15" i="1"/>
  <c r="H15" i="1"/>
  <c r="I15" i="1" s="1"/>
  <c r="L15" i="1" s="1"/>
  <c r="K15" i="1" s="1"/>
  <c r="AK14" i="1"/>
  <c r="AA14" i="1"/>
  <c r="W14" i="1"/>
  <c r="X14" i="1" s="1"/>
  <c r="T14" i="1"/>
  <c r="Q14" i="1"/>
  <c r="H14" i="1"/>
  <c r="I14" i="1" s="1"/>
  <c r="L14" i="1" s="1"/>
  <c r="K14" i="1" s="1"/>
  <c r="AK13" i="1"/>
  <c r="AA13" i="1"/>
  <c r="W13" i="1"/>
  <c r="X13" i="1" s="1"/>
  <c r="T13" i="1"/>
  <c r="Q13" i="1"/>
  <c r="I13" i="1"/>
  <c r="L13" i="1" s="1"/>
  <c r="K13" i="1" s="1"/>
  <c r="H13" i="1"/>
  <c r="AK12" i="1"/>
  <c r="AA12" i="1"/>
  <c r="X12" i="1"/>
  <c r="W12" i="1"/>
  <c r="T12" i="1"/>
  <c r="H12" i="1"/>
  <c r="I12" i="1" s="1"/>
  <c r="L12" i="1" s="1"/>
  <c r="K12" i="1" s="1"/>
  <c r="AH11" i="1"/>
  <c r="AK11" i="1" s="1"/>
  <c r="AA11" i="1"/>
  <c r="T11" i="1"/>
  <c r="H11" i="1"/>
  <c r="I11" i="1" s="1"/>
  <c r="L11" i="1" s="1"/>
  <c r="K11" i="1" s="1"/>
  <c r="AK10" i="1"/>
  <c r="AA10" i="1"/>
  <c r="AA389" i="1" s="1"/>
  <c r="W10" i="1"/>
  <c r="X10" i="1" s="1"/>
  <c r="T10" i="1"/>
  <c r="I10" i="1"/>
  <c r="L10" i="1" s="1"/>
  <c r="K10" i="1" s="1"/>
  <c r="H10" i="1"/>
  <c r="AK177" i="1" l="1"/>
  <c r="W177" i="1"/>
  <c r="X177" i="1" s="1"/>
  <c r="W161" i="1"/>
  <c r="X161" i="1" s="1"/>
  <c r="AK250" i="1"/>
  <c r="W11" i="1"/>
  <c r="X11" i="1" s="1"/>
  <c r="W91" i="1"/>
  <c r="X91" i="1" s="1"/>
  <c r="W145" i="1"/>
  <c r="X145" i="1" s="1"/>
  <c r="AK146" i="1"/>
  <c r="AK389" i="1" s="1"/>
  <c r="AK156" i="1"/>
  <c r="W156" i="1"/>
  <c r="X156" i="1" s="1"/>
  <c r="L413" i="1"/>
  <c r="AK170" i="1"/>
  <c r="W170" i="1"/>
  <c r="X170" i="1" s="1"/>
  <c r="T413" i="1"/>
  <c r="W61" i="1"/>
  <c r="X61" i="1" s="1"/>
  <c r="W99" i="1"/>
  <c r="X99" i="1" s="1"/>
  <c r="AK178" i="1"/>
  <c r="W178" i="1"/>
  <c r="X178" i="1" s="1"/>
  <c r="I413" i="1"/>
  <c r="AK143" i="1"/>
  <c r="AK390" i="1" s="1"/>
  <c r="W143" i="1"/>
  <c r="X143" i="1" s="1"/>
  <c r="W175" i="1"/>
  <c r="X175" i="1" s="1"/>
  <c r="W274" i="1"/>
  <c r="X274" i="1" s="1"/>
  <c r="W264" i="1"/>
  <c r="X264" i="1" s="1"/>
  <c r="X389" i="1" l="1"/>
  <c r="AK392" i="1"/>
</calcChain>
</file>

<file path=xl/sharedStrings.xml><?xml version="1.0" encoding="utf-8"?>
<sst xmlns="http://schemas.openxmlformats.org/spreadsheetml/2006/main" count="6197" uniqueCount="2376">
  <si>
    <t>ZAŁĄCZNIK nr 2a</t>
  </si>
  <si>
    <t>Kolumna</t>
  </si>
  <si>
    <t>kolumna</t>
  </si>
  <si>
    <t>nr 1</t>
  </si>
  <si>
    <t xml:space="preserve"> nr 2</t>
  </si>
  <si>
    <t>nr 3</t>
  </si>
  <si>
    <t>nr 4</t>
  </si>
  <si>
    <t xml:space="preserve"> nr 5</t>
  </si>
  <si>
    <t>nr 6</t>
  </si>
  <si>
    <t xml:space="preserve"> nr 7</t>
  </si>
  <si>
    <t>nr 8</t>
  </si>
  <si>
    <t>nr 9</t>
  </si>
  <si>
    <t>L.P.</t>
  </si>
  <si>
    <t>Nazwa produktu</t>
  </si>
  <si>
    <t>Referencyjne parametry jakości</t>
  </si>
  <si>
    <t>Referencyjne parametry jakości, poj. w ml</t>
  </si>
  <si>
    <t>ILOŚĆ</t>
  </si>
  <si>
    <t>CENA NETTO [PLN]</t>
  </si>
  <si>
    <t>WARTOŚĆ NETTO [PLN]</t>
  </si>
  <si>
    <t>Wykonawca dla każdej pozycji obowiązkowo wpisuje obowiązującą stawkę podatku VAT w % i w kwocie PLN</t>
  </si>
  <si>
    <t>WARTOŚĆ BRUTTO [PLN]</t>
  </si>
  <si>
    <t>uwagi</t>
  </si>
  <si>
    <t>dostawca</t>
  </si>
  <si>
    <t>cena zakupu</t>
  </si>
  <si>
    <t>cennik</t>
  </si>
  <si>
    <t>Chempur - cena zakupu jako alternatywa Avantor</t>
  </si>
  <si>
    <t>sprzedaż w 2015/2016</t>
  </si>
  <si>
    <t>najniższa cena jednostkowa konkurencji</t>
  </si>
  <si>
    <t>potencjalna wartość konkurencji</t>
  </si>
  <si>
    <t>ilość  w przetargu 2015</t>
  </si>
  <si>
    <t>ceena 2015</t>
  </si>
  <si>
    <t>ceny netto do oferty - marża 30%</t>
  </si>
  <si>
    <t>wartość netto</t>
  </si>
  <si>
    <t>uwagi do cen, inny procent marży /0,10- oznacza 10% marży/</t>
  </si>
  <si>
    <t>Hurt-Chem ceny jednostkowe 2014 /na czerowno prognoza 2015</t>
  </si>
  <si>
    <t>wartość</t>
  </si>
  <si>
    <t>Moje uwagi</t>
  </si>
  <si>
    <t>cena kat.</t>
  </si>
  <si>
    <t>rabat</t>
  </si>
  <si>
    <t>zakupione ilośći</t>
  </si>
  <si>
    <t>cena specjalna Chempur</t>
  </si>
  <si>
    <t>Wartość zakupu</t>
  </si>
  <si>
    <t>nazwa</t>
  </si>
  <si>
    <t>cena do oferty</t>
  </si>
  <si>
    <t>wartość oferty</t>
  </si>
  <si>
    <t>1.</t>
  </si>
  <si>
    <t xml:space="preserve">Aceton </t>
  </si>
  <si>
    <t>1 l</t>
  </si>
  <si>
    <t>czda, odcz. FP</t>
  </si>
  <si>
    <t>POCH 102480111</t>
  </si>
  <si>
    <t>Avantor</t>
  </si>
  <si>
    <t>box przetargowy</t>
  </si>
  <si>
    <t>avantor</t>
  </si>
  <si>
    <t>Aceton CZDA, ODCZ. FP op. 1 dm3</t>
  </si>
  <si>
    <t>2.</t>
  </si>
  <si>
    <t>Acetone for analysis, Reag. ACS, Reag. ISO, Reag. Ph. Eur.</t>
  </si>
  <si>
    <t>czda</t>
  </si>
  <si>
    <t>Honneywell 10303369</t>
  </si>
  <si>
    <t>Alchem</t>
  </si>
  <si>
    <t>z rabatem 20%</t>
  </si>
  <si>
    <t>alchem</t>
  </si>
  <si>
    <t>3.</t>
  </si>
  <si>
    <t>Acetonitryl</t>
  </si>
  <si>
    <t>Poch 102640111</t>
  </si>
  <si>
    <t>przetargowy</t>
  </si>
  <si>
    <t>4.</t>
  </si>
  <si>
    <t>Acetonitryl do HPLC</t>
  </si>
  <si>
    <t>2,5 l</t>
  </si>
  <si>
    <t>HPLC</t>
  </si>
  <si>
    <t>Poch 102640150</t>
  </si>
  <si>
    <t>Aceton TECHN op. 45 kg</t>
  </si>
  <si>
    <t>5.</t>
  </si>
  <si>
    <t>Acetonitrile do HPLC Super Gradient</t>
  </si>
  <si>
    <t>HPLC Super Gradient</t>
  </si>
  <si>
    <t>POCH 102644151</t>
  </si>
  <si>
    <t>Acetonitryl CZDA, ODCZ. FP op. 1 dm3</t>
  </si>
  <si>
    <t>6.</t>
  </si>
  <si>
    <t>Acetonitryl SpS 200</t>
  </si>
  <si>
    <t>Romil H048L</t>
  </si>
  <si>
    <t>Romil</t>
  </si>
  <si>
    <t>specjalny</t>
  </si>
  <si>
    <t>dałem 20% marży, musi być tańszy od POCH</t>
  </si>
  <si>
    <t>zwiększyłem, damy cenę sprzedazy na 15% marży zależy nam na sprzedazy tej pozycji</t>
  </si>
  <si>
    <t>romil</t>
  </si>
  <si>
    <t>Acetonitryl DO HPLC - SUPER GRADIENT op. 2,5 dm3</t>
  </si>
  <si>
    <t>7.</t>
  </si>
  <si>
    <t>Agar MRS dla Lactobacillus wg DE MAN, ROGOSA i SHARPE dla mikrobiologii</t>
  </si>
  <si>
    <t>500g</t>
  </si>
  <si>
    <t>cz.d.a</t>
  </si>
  <si>
    <t>Merck 110660</t>
  </si>
  <si>
    <t>merck tylko 15%</t>
  </si>
  <si>
    <t>Merck</t>
  </si>
  <si>
    <t>of 1010147299</t>
  </si>
  <si>
    <t>merck</t>
  </si>
  <si>
    <t>8.</t>
  </si>
  <si>
    <t>Agar ziemniaczano -Glukozowy</t>
  </si>
  <si>
    <t>Merck 110130</t>
  </si>
  <si>
    <t>9.</t>
  </si>
  <si>
    <t>Agar standardowy dla mikrobiologii, granulat</t>
  </si>
  <si>
    <t>Merck 101621</t>
  </si>
  <si>
    <t>10.</t>
  </si>
  <si>
    <t>Amoniak roztwór 25%</t>
  </si>
  <si>
    <t>POCH 134963118</t>
  </si>
  <si>
    <t>dopisałem numer katalogowy</t>
  </si>
  <si>
    <t>11.</t>
  </si>
  <si>
    <t>Amoniak test Metoda: fotometryczna, 0.010 - 3.00 mg/l NH4-N</t>
  </si>
  <si>
    <t>1 op.</t>
  </si>
  <si>
    <t>-</t>
  </si>
  <si>
    <t>Merck 114752</t>
  </si>
  <si>
    <t>oferta 1010147294</t>
  </si>
  <si>
    <t>12.</t>
  </si>
  <si>
    <t>Amonu żelaza (II) siarczan 6.hydrat</t>
  </si>
  <si>
    <t>1 kg</t>
  </si>
  <si>
    <t>Chempur 111366001</t>
  </si>
  <si>
    <t>Chempur</t>
  </si>
  <si>
    <t>chempur</t>
  </si>
  <si>
    <t>Amoniak r-r 25% CZDA, ODCZ. FP op. 1 dm3</t>
  </si>
  <si>
    <t>13.</t>
  </si>
  <si>
    <t>Amonu azotan</t>
  </si>
  <si>
    <t>Chempur 111369900</t>
  </si>
  <si>
    <t>nie kupili, 15% marży</t>
  </si>
  <si>
    <t>14.</t>
  </si>
  <si>
    <t>Amonu chlorek</t>
  </si>
  <si>
    <t>Poch 137260114</t>
  </si>
  <si>
    <t>15.</t>
  </si>
  <si>
    <t>di-Amonu wodorocytrynian</t>
  </si>
  <si>
    <t>Poch 137800119</t>
  </si>
  <si>
    <t>zrealizujemy Chempur</t>
  </si>
  <si>
    <t>możemy ryzykować i wyceniać na podstawie Chempur</t>
  </si>
  <si>
    <t>Amonu żelaza (III) siarczan 12 . hydrat CZDA, ODCZ. FP op. 1 kg</t>
  </si>
  <si>
    <t>16.</t>
  </si>
  <si>
    <t>Amonu fluorek</t>
  </si>
  <si>
    <t>500 g</t>
  </si>
  <si>
    <t>Acros 42329</t>
  </si>
  <si>
    <t>Argenta</t>
  </si>
  <si>
    <t>bez marży, zrealizujemy Chempur</t>
  </si>
  <si>
    <t>chempur 57,26</t>
  </si>
  <si>
    <t>acros</t>
  </si>
  <si>
    <t>60,90*4,3</t>
  </si>
  <si>
    <t>chem*111381400*500g</t>
  </si>
  <si>
    <t>17.</t>
  </si>
  <si>
    <t>Amonu monowanadan</t>
  </si>
  <si>
    <t>100 g</t>
  </si>
  <si>
    <t>POCH 138850114</t>
  </si>
  <si>
    <t>Amonu chlorek CZDA op. 1 kg</t>
  </si>
  <si>
    <t>18.</t>
  </si>
  <si>
    <t>Amonu molibdenian 4.hydrat</t>
  </si>
  <si>
    <t>Chempur 111390000</t>
  </si>
  <si>
    <t>19.</t>
  </si>
  <si>
    <t>Amonu nadsiarczan</t>
  </si>
  <si>
    <t>Poch 139190110</t>
  </si>
  <si>
    <t>20.</t>
  </si>
  <si>
    <t>Amonu octan</t>
  </si>
  <si>
    <t>Chempur 111392705</t>
  </si>
  <si>
    <t>21.</t>
  </si>
  <si>
    <t>Amonu rodanek</t>
  </si>
  <si>
    <t>Poch 139580110</t>
  </si>
  <si>
    <t>22.</t>
  </si>
  <si>
    <t>Odważka analityczna amonu rodanek 0,1 mol/l (0,1 N)</t>
  </si>
  <si>
    <t>Poch 139596165</t>
  </si>
  <si>
    <t>Nist</t>
  </si>
  <si>
    <t>24,08 b2b</t>
  </si>
  <si>
    <t>23.</t>
  </si>
  <si>
    <t>Amonu siarczan</t>
  </si>
  <si>
    <t>Poch 139720110</t>
  </si>
  <si>
    <t>Amonu monowanadan CZDA, ODCZ. FP op. 100 g</t>
  </si>
  <si>
    <t>24.</t>
  </si>
  <si>
    <t>Amonu siarczek r-r 20%</t>
  </si>
  <si>
    <t>100 ml</t>
  </si>
  <si>
    <t>Poch 139780117</t>
  </si>
  <si>
    <t>25.</t>
  </si>
  <si>
    <t>di-Amonu szczawian 1 .hydrat</t>
  </si>
  <si>
    <t>Chempur 111400004</t>
  </si>
  <si>
    <t>Amonu nadsiarczan CZDA op. 1 kg</t>
  </si>
  <si>
    <t>26.</t>
  </si>
  <si>
    <t>Amonu węglan</t>
  </si>
  <si>
    <t>Chempur 111403608</t>
  </si>
  <si>
    <t>POCH wycofane</t>
  </si>
  <si>
    <t>27.</t>
  </si>
  <si>
    <t>Amonu wodorowęglan</t>
  </si>
  <si>
    <t>Poch 140370115</t>
  </si>
  <si>
    <t>Amonu rodanek CZDA, ACS, ODCZ. FP op. 500 g</t>
  </si>
  <si>
    <t>28.</t>
  </si>
  <si>
    <t>Ampicillin krążki</t>
  </si>
  <si>
    <t>BTL A0122</t>
  </si>
  <si>
    <t>BTL</t>
  </si>
  <si>
    <t>1227/15/4</t>
  </si>
  <si>
    <t>btl</t>
  </si>
  <si>
    <t>TitraFix(TM) Plus NIST standard  odważka analityczna amonu rodanek 0,1 mol/l op. 1 szt</t>
  </si>
  <si>
    <t>29.</t>
  </si>
  <si>
    <t xml:space="preserve">Anilina </t>
  </si>
  <si>
    <t>1L</t>
  </si>
  <si>
    <t>Chempur 111458308</t>
  </si>
  <si>
    <t>Amonu siarczan CZDA, ODCZ. FP op. 1 kg</t>
  </si>
  <si>
    <t>30.</t>
  </si>
  <si>
    <t>Azot (ogólny) - test kuwetowy Metoda: fotometryczna, DMP 10 - 150 mg/l N</t>
  </si>
  <si>
    <t>Merck 114763</t>
  </si>
  <si>
    <t>31.</t>
  </si>
  <si>
    <t>Azotany test Metoda: fotometryczna 0.2 - 20.0 mg/l NO3-N</t>
  </si>
  <si>
    <t>Merck 114773</t>
  </si>
  <si>
    <t>32.</t>
  </si>
  <si>
    <t>Azotyny test Metoda: fotometryczna 0.002 - 1.00 mg/l NO2-N</t>
  </si>
  <si>
    <t>Merck 114776</t>
  </si>
  <si>
    <t>33.</t>
  </si>
  <si>
    <t>Balsam kanadyjski do mikroskopii</t>
  </si>
  <si>
    <t>500 ml</t>
  </si>
  <si>
    <t>Poch 157160598</t>
  </si>
  <si>
    <t>34.</t>
  </si>
  <si>
    <r>
      <t xml:space="preserve">Baru azotan </t>
    </r>
    <r>
      <rPr>
        <sz val="8"/>
        <color indexed="8"/>
        <rFont val="Arial"/>
        <family val="2"/>
        <charset val="238"/>
      </rPr>
      <t>≥ 99%</t>
    </r>
  </si>
  <si>
    <t>POCH 157520111</t>
  </si>
  <si>
    <t>35.</t>
  </si>
  <si>
    <t>Baru chlorek 2.hydrat</t>
  </si>
  <si>
    <t>Poch 157910111</t>
  </si>
  <si>
    <t>Amonu węglan CZDA, ODCZ. FP op. 1 kg</t>
  </si>
  <si>
    <t>36.</t>
  </si>
  <si>
    <t>Baru octan czda</t>
  </si>
  <si>
    <t>Chempur 111593303</t>
  </si>
  <si>
    <t>Amonu wodorowęglan CZDA op. 1 kg</t>
  </si>
  <si>
    <t>37.</t>
  </si>
  <si>
    <t>Baru tiosiarczan</t>
  </si>
  <si>
    <t>Chempur 111596001</t>
  </si>
  <si>
    <t>2016 wstawka</t>
  </si>
  <si>
    <t>38.</t>
  </si>
  <si>
    <t>Benzen</t>
  </si>
  <si>
    <t>Chempur 111625000</t>
  </si>
  <si>
    <t>39.</t>
  </si>
  <si>
    <t>Benzyna ekstrakcyjna</t>
  </si>
  <si>
    <t>Chempur 757651425</t>
  </si>
  <si>
    <t>40.</t>
  </si>
  <si>
    <t>Barwnik Giemzy proszek BM (rozp. w wodzie)</t>
  </si>
  <si>
    <t>b.m.</t>
  </si>
  <si>
    <t>Chempur 121601163</t>
  </si>
  <si>
    <t>Balsam kanadyjski do mikroskopii op. 500 cm3</t>
  </si>
  <si>
    <t>41.</t>
  </si>
  <si>
    <t>2,2'- bipirydyl</t>
  </si>
  <si>
    <t>50g</t>
  </si>
  <si>
    <t>Chempur 113677209</t>
  </si>
  <si>
    <t>2015 wstawka</t>
  </si>
  <si>
    <t>20% poniżej c.z.</t>
  </si>
  <si>
    <t>wstawka</t>
  </si>
  <si>
    <t>Baru azotan CZDA, ODCZ. FP op. 500 g</t>
  </si>
  <si>
    <t>42.</t>
  </si>
  <si>
    <t>Bizmutu (III) azotan zasadowy czda</t>
  </si>
  <si>
    <t>250g</t>
  </si>
  <si>
    <t>Chempur 111821601</t>
  </si>
  <si>
    <t>Baru chlorek 2 . hydrat CZDA, ODCZ. FP op. 1 kg</t>
  </si>
  <si>
    <t>43.</t>
  </si>
  <si>
    <t>Błękit bromofenolowy WSK</t>
  </si>
  <si>
    <t>5g</t>
  </si>
  <si>
    <t>wsk.</t>
  </si>
  <si>
    <t>Chempur 121840408</t>
  </si>
  <si>
    <t>44.</t>
  </si>
  <si>
    <t>Błękit metylenowy BM</t>
  </si>
  <si>
    <t>25g</t>
  </si>
  <si>
    <t>Poch 185480121</t>
  </si>
  <si>
    <t>45.</t>
  </si>
  <si>
    <t>Brom</t>
  </si>
  <si>
    <t>Chempur 111923600</t>
  </si>
  <si>
    <t>46.</t>
  </si>
  <si>
    <t>1-Butanol</t>
  </si>
  <si>
    <t>Poch 203230115</t>
  </si>
  <si>
    <t>47.</t>
  </si>
  <si>
    <t>1-Butanol DO HPLC</t>
  </si>
  <si>
    <t>Poch 203231150</t>
  </si>
  <si>
    <t>zwiększamy o 8</t>
  </si>
  <si>
    <t>48.</t>
  </si>
  <si>
    <t>n-Butylu octan</t>
  </si>
  <si>
    <t>Poch 211500119</t>
  </si>
  <si>
    <t>49.</t>
  </si>
  <si>
    <t>Celite 545</t>
  </si>
  <si>
    <t>750g</t>
  </si>
  <si>
    <t>Poch 213500460</t>
  </si>
  <si>
    <t>Błękit metylenowy BM op. 25 g</t>
  </si>
  <si>
    <t>50.</t>
  </si>
  <si>
    <t>Celuloza mikrokrystaliczna czast. 50um</t>
  </si>
  <si>
    <t>Acros 38724</t>
  </si>
  <si>
    <t>51.</t>
  </si>
  <si>
    <t>Chloroform</t>
  </si>
  <si>
    <t>POCH  234431116</t>
  </si>
  <si>
    <t>12,56-basic</t>
  </si>
  <si>
    <t>1-Butanol CZDA, ODCZ. FP op. 1 dm3</t>
  </si>
  <si>
    <t>52.</t>
  </si>
  <si>
    <t>Chloroform for analysis, Reag. ISO, Reag. Ph. Eur., stabilized with approx. 1 % ethanol</t>
  </si>
  <si>
    <t>Honneywell 10314133</t>
  </si>
  <si>
    <t>1-Butanol DO HPLC op. 2,5 dm3</t>
  </si>
  <si>
    <t>53.</t>
  </si>
  <si>
    <t>Chloroform DO HPLC (STAB. ETANOLEM)</t>
  </si>
  <si>
    <t>Poch 234428159</t>
  </si>
  <si>
    <t>2-Butanol CZDA op. 1 dm3</t>
  </si>
  <si>
    <t>54.</t>
  </si>
  <si>
    <t xml:space="preserve">Chloroform do analizy Emsure </t>
  </si>
  <si>
    <t>2,5l</t>
  </si>
  <si>
    <t>analizy Emsure</t>
  </si>
  <si>
    <t>Merck 102445</t>
  </si>
  <si>
    <t>rabat 20%</t>
  </si>
  <si>
    <t>n-Butylu octan CZDA, ODCZ. FP op. 1 dm3</t>
  </si>
  <si>
    <t>55.</t>
  </si>
  <si>
    <t>Chromu (III) potasu siarczan 12.hydrat</t>
  </si>
  <si>
    <t>Acros 22252</t>
  </si>
  <si>
    <t>Celite(R) 545 op. 750 g</t>
  </si>
  <si>
    <t>56.</t>
  </si>
  <si>
    <t>Cykloheksan</t>
  </si>
  <si>
    <t>Poch 256420115</t>
  </si>
  <si>
    <t>Celuloza mikrokrystaliczna , wielkość cząstek 50 um  /ACROS 387242500/ op. 250 g</t>
  </si>
  <si>
    <t>57.</t>
  </si>
  <si>
    <t xml:space="preserve">Cykloheksan czda </t>
  </si>
  <si>
    <t>Chempur 112564208</t>
  </si>
  <si>
    <t>58.</t>
  </si>
  <si>
    <t xml:space="preserve">Cyny chlorek bezw. </t>
  </si>
  <si>
    <t>Chempur 112620001</t>
  </si>
  <si>
    <t>59.</t>
  </si>
  <si>
    <t>Cyny(II) chlorek 2.hydrat</t>
  </si>
  <si>
    <t>Chempur 112620409</t>
  </si>
  <si>
    <t>60.</t>
  </si>
  <si>
    <t>Cynk metal granulki CZDA, ODP. ACS, ODCZ. FP VI wolny od arsenu</t>
  </si>
  <si>
    <t>Poch 263135110</t>
  </si>
  <si>
    <t>Chloroform CZDA op. 1 dm3</t>
  </si>
  <si>
    <t>61.</t>
  </si>
  <si>
    <t>Cynku azotan 6.hydrat pure 98 %</t>
  </si>
  <si>
    <t xml:space="preserve">extra pure </t>
  </si>
  <si>
    <t>Acros 21166</t>
  </si>
  <si>
    <t>62.</t>
  </si>
  <si>
    <t>Cynku chlorek bezwodny</t>
  </si>
  <si>
    <t>Poch 112642000</t>
  </si>
  <si>
    <t>zmieniłem na Chempur ze względu na cene jednostkową</t>
  </si>
  <si>
    <t>Chloroform DO HPLC (STAB. ETANOLEM) op. 2,5 dm3</t>
  </si>
  <si>
    <t>63.</t>
  </si>
  <si>
    <t>Cynku octan</t>
  </si>
  <si>
    <t>1kg</t>
  </si>
  <si>
    <t>Poch 265490116</t>
  </si>
  <si>
    <t>Chromu (III) potasu siarczan 12 . hydrat 99+% /ACROS 222525000/ op. 500 g</t>
  </si>
  <si>
    <t>64.</t>
  </si>
  <si>
    <t>Cynku siarczan 7.hydrat</t>
  </si>
  <si>
    <t>Poch 265750119</t>
  </si>
  <si>
    <t>Cykloheksan CZDA, ACS, ODCZ. FP op. 1 dm3</t>
  </si>
  <si>
    <t>65.</t>
  </si>
  <si>
    <t>Czerń Eriochromowa T wsk (K</t>
  </si>
  <si>
    <t>Chempur 232714101</t>
  </si>
  <si>
    <t>66.</t>
  </si>
  <si>
    <t>Tetrahydrofuran</t>
  </si>
  <si>
    <t>1l</t>
  </si>
  <si>
    <t>Poch 278200118</t>
  </si>
  <si>
    <t>67.</t>
  </si>
  <si>
    <t xml:space="preserve">Tetrahydrofuran </t>
  </si>
  <si>
    <t>Poch 278200157</t>
  </si>
  <si>
    <t>68.</t>
  </si>
  <si>
    <t>Tetrahydrofuran SpS do HPLC</t>
  </si>
  <si>
    <t>Romil H718L</t>
  </si>
  <si>
    <t>69.</t>
  </si>
  <si>
    <t xml:space="preserve">1,2 dichloroetan </t>
  </si>
  <si>
    <t>Chempur 113192005</t>
  </si>
  <si>
    <t>70.</t>
  </si>
  <si>
    <t>Dichlorometan DO HPLC (STAB. AMYLENEM)</t>
  </si>
  <si>
    <t>Poch 628408152</t>
  </si>
  <si>
    <t>zwiększamy o 5</t>
  </si>
  <si>
    <t>Cynk metal granulki CZDA, ACS, ODCZ. FP wolny od arsenu op. 500 g</t>
  </si>
  <si>
    <t>71.</t>
  </si>
  <si>
    <t>Dichlorometan SpS Amylene</t>
  </si>
  <si>
    <t>Romil H202L</t>
  </si>
  <si>
    <t>15% marży, zakładamy że kupią</t>
  </si>
  <si>
    <t>wstawka, uwaga mogą zamówić</t>
  </si>
  <si>
    <t>Cynku azotan 6 . hydrat ekstra czysty, 98% /ACROS 211660010/ op. 1 kg</t>
  </si>
  <si>
    <t>72.</t>
  </si>
  <si>
    <t>Dichlorometan DO GC DO ANALIZY POZ.PEST. STAB.AMYLENEM</t>
  </si>
  <si>
    <t>GC</t>
  </si>
  <si>
    <t>Poch 628414194</t>
  </si>
  <si>
    <t>Cynku (II) chlorek bezwodny CZDA op. 1 kg</t>
  </si>
  <si>
    <t>73.</t>
  </si>
  <si>
    <t>1.4-Dioksan</t>
  </si>
  <si>
    <t>POCH 292300119</t>
  </si>
  <si>
    <t>Cynku octan 2 . hydrat CZDA op. 1 kg</t>
  </si>
  <si>
    <t>74.</t>
  </si>
  <si>
    <t>1,4-dichlorobenzen 99%</t>
  </si>
  <si>
    <t xml:space="preserve">ACROS 11319 </t>
  </si>
  <si>
    <t>Cynku siarczan 7 . hydrat CZDA, ACS, ODCZ. FP op. 1 kg</t>
  </si>
  <si>
    <t>75.</t>
  </si>
  <si>
    <t>Ekstrakt drożdżowy BTL</t>
  </si>
  <si>
    <t>BTL S0003</t>
  </si>
  <si>
    <t>76.</t>
  </si>
  <si>
    <t>Erytromycin krążki</t>
  </si>
  <si>
    <t>BTL A0515</t>
  </si>
  <si>
    <t>77.</t>
  </si>
  <si>
    <t>Eter dietylowy</t>
  </si>
  <si>
    <t>Honneywell</t>
  </si>
  <si>
    <t>Tetrahydrofuran CZDA, ACS op. 1 dm3</t>
  </si>
  <si>
    <t>78.</t>
  </si>
  <si>
    <t>POCH 384210114</t>
  </si>
  <si>
    <t>18,52-basic</t>
  </si>
  <si>
    <t>79.</t>
  </si>
  <si>
    <t>Eter dietylowy DO HPLC (STAB. ETANOLEM)</t>
  </si>
  <si>
    <t>Poch 384211159</t>
  </si>
  <si>
    <t>zwiększone o 6</t>
  </si>
  <si>
    <t>Dichlorometan DO HPLC (STAB. AMYLENEM) op. 1 dm3</t>
  </si>
  <si>
    <t>80.</t>
  </si>
  <si>
    <t>Eter dietylowy DO GC DO ANALIZY POZ.PEST. STAB.ETANOLEM</t>
  </si>
  <si>
    <t>Poch 384213199</t>
  </si>
  <si>
    <t>zwiększone 0 14</t>
  </si>
  <si>
    <t>Dichlorometan DO HPLC (STAB. AMYLENEM) op. 2,5 dm3</t>
  </si>
  <si>
    <t>81.</t>
  </si>
  <si>
    <t>Eter naftowy t.w. 40-60</t>
  </si>
  <si>
    <t>POCH 384690115</t>
  </si>
  <si>
    <t>15,42-basic</t>
  </si>
  <si>
    <t>Dichlorometan DO GC DO ANALIZY POZ.PEST. STAB.AMYLENEM op. 2,5 dm3</t>
  </si>
  <si>
    <t>82.</t>
  </si>
  <si>
    <t>1,4-Dioksan CZDA, ODCZ. FP op. 1 dm3</t>
  </si>
  <si>
    <t>83.</t>
  </si>
  <si>
    <t>Eter naftowy t.w. 40-60°C do GC do analizy pozostałosci pestycydów</t>
  </si>
  <si>
    <t>Poch 384690193</t>
  </si>
  <si>
    <t>1,4-Dichlorobenzen 99+% /ACROS 113190010/ op. 1 kg</t>
  </si>
  <si>
    <t>84.</t>
  </si>
  <si>
    <t>Eter naftowy t.w. 60-80°C DO HPLC</t>
  </si>
  <si>
    <t>Poch 384710151</t>
  </si>
  <si>
    <t>85.</t>
  </si>
  <si>
    <t>Etylenodiamina</t>
  </si>
  <si>
    <t>Poch 388190118</t>
  </si>
  <si>
    <t>86.</t>
  </si>
  <si>
    <t>Etylowy alkohol 96%</t>
  </si>
  <si>
    <t>0,5 l</t>
  </si>
  <si>
    <t>POCH 396420113</t>
  </si>
  <si>
    <t>basic paleta</t>
  </si>
  <si>
    <t>basic</t>
  </si>
  <si>
    <t>87.</t>
  </si>
  <si>
    <t>Etylowy alkohol bezwodny 99,8% CZDA, ODCZ. FP VI</t>
  </si>
  <si>
    <t>POCH 396480111</t>
  </si>
  <si>
    <t>Eter dietylowy CZDA, Ph.Eur. op. 1 dm3</t>
  </si>
  <si>
    <t>88.</t>
  </si>
  <si>
    <t>Etylowy alkohol bezwodny 99,8% SP.CZ wg ISO, ACS</t>
  </si>
  <si>
    <t>sp.cz</t>
  </si>
  <si>
    <t>POCH 396480651</t>
  </si>
  <si>
    <t>ok. 55 kontrakty</t>
  </si>
  <si>
    <t>Eter dietylowy DO HPLC (STAB. ETANOLEM) op. 2,5 dm3</t>
  </si>
  <si>
    <t>89.</t>
  </si>
  <si>
    <t>Etylu octan</t>
  </si>
  <si>
    <t>POCH 405030115</t>
  </si>
  <si>
    <t>9,9-basic</t>
  </si>
  <si>
    <t>Eter dietylowy DO GC DO ANALIZY POZ.PEST. STAB.ETANOLEM op. 2,5 dm3</t>
  </si>
  <si>
    <t>90.</t>
  </si>
  <si>
    <t>Eter naftowy t.w. 40-60°C CZDA, ODCZ. FP op. 1 dm3</t>
  </si>
  <si>
    <t>91.</t>
  </si>
  <si>
    <t>18 l</t>
  </si>
  <si>
    <t>cz</t>
  </si>
  <si>
    <t>Poch 405030421</t>
  </si>
  <si>
    <t>92.</t>
  </si>
  <si>
    <t>Poch 405031150</t>
  </si>
  <si>
    <t>93.</t>
  </si>
  <si>
    <t xml:space="preserve">1,10-fenantroliny chlorowodorek </t>
  </si>
  <si>
    <t>Chempur 224130006</t>
  </si>
  <si>
    <t>30% poniżej c. z.</t>
  </si>
  <si>
    <t>Eter naftowy t.w. 40-60°C DO GC DO ANALIZY POZOSTAŁOŚCI PESTYCYDÓW op. 2,5 dm3</t>
  </si>
  <si>
    <t>94.</t>
  </si>
  <si>
    <t>Fenol</t>
  </si>
  <si>
    <t>Poch 414450118</t>
  </si>
  <si>
    <t>Eter naftowy t.w. 60-80°C DO HPLC op. 2,5 dm3</t>
  </si>
  <si>
    <t>95.</t>
  </si>
  <si>
    <t>Fenoloftaleina</t>
  </si>
  <si>
    <t>25 g</t>
  </si>
  <si>
    <t>Chempur 214145003</t>
  </si>
  <si>
    <t>Etylenodiamina CZDA op. 1 dm3</t>
  </si>
  <si>
    <t>96.</t>
  </si>
  <si>
    <t>Fenoloftaleina r-r 2% WSK</t>
  </si>
  <si>
    <t>Chempur 274145238</t>
  </si>
  <si>
    <t>Etylowy alkohol 96% CZDA op. 500 cm3</t>
  </si>
  <si>
    <t>97.</t>
  </si>
  <si>
    <t>1,4-Fenylenodiamina</t>
  </si>
  <si>
    <t>Merck 807246</t>
  </si>
  <si>
    <t>Etylowy alkohol bezwodny 99,8% CZDA, ODCZ. FP op. 500 cm3</t>
  </si>
  <si>
    <t>98.</t>
  </si>
  <si>
    <t>Fiolet krystaliczny (K)</t>
  </si>
  <si>
    <t>Chempur 124251505</t>
  </si>
  <si>
    <t>Etylowy alkohol bezwodny 99,8% SP.CZ wg ISO op. 500 cm3</t>
  </si>
  <si>
    <t>99.</t>
  </si>
  <si>
    <t>Formaldehyd 36-38%</t>
  </si>
  <si>
    <t>Poch 432173111</t>
  </si>
  <si>
    <t>Etylu octan CZDA, ACS op. 1 dm3</t>
  </si>
  <si>
    <t>100.</t>
  </si>
  <si>
    <t>Formaldehyd 36-38% TECHN</t>
  </si>
  <si>
    <t>30 kg</t>
  </si>
  <si>
    <t>techn.</t>
  </si>
  <si>
    <t>Poch  M00015188</t>
  </si>
  <si>
    <t>101.</t>
  </si>
  <si>
    <t>Fosforany test Metoda: fotometrycznaVM 0.5 - 30.0 mg/l PO4-P</t>
  </si>
  <si>
    <t>Merck 114842</t>
  </si>
  <si>
    <t>102.</t>
  </si>
  <si>
    <t>di-Fosforu pentatlenek</t>
  </si>
  <si>
    <t>Poch 435620118</t>
  </si>
  <si>
    <t>Etylu octan CZ op. 18 dm3</t>
  </si>
  <si>
    <t>103.</t>
  </si>
  <si>
    <t>Gentamycin krążki</t>
  </si>
  <si>
    <t>559-A0712,BTL</t>
  </si>
  <si>
    <t>Fenol CZDA op. 1 kg</t>
  </si>
  <si>
    <t>104.</t>
  </si>
  <si>
    <t>Gliceryna bezwodna</t>
  </si>
  <si>
    <t>POCH 443320113</t>
  </si>
  <si>
    <t>105.</t>
  </si>
  <si>
    <t>106.</t>
  </si>
  <si>
    <t>Glikol etylenowy</t>
  </si>
  <si>
    <t>60 kg</t>
  </si>
  <si>
    <t>Poch  M00015175</t>
  </si>
  <si>
    <t>107.</t>
  </si>
  <si>
    <t>Poch 446630117</t>
  </si>
  <si>
    <t>108.</t>
  </si>
  <si>
    <t>Glikol polietylenowy CZ 400</t>
  </si>
  <si>
    <t>Poch 447150427</t>
  </si>
  <si>
    <t>Formaldehyd 36-38% CZDA op. 1 dm3</t>
  </si>
  <si>
    <t>109.</t>
  </si>
  <si>
    <t>Glinu potasu siarczan 12.hydrat</t>
  </si>
  <si>
    <t>chempur 114526603</t>
  </si>
  <si>
    <t>Formaldehyd 36-38% TECHN op. 30 kg</t>
  </si>
  <si>
    <t>110.</t>
  </si>
  <si>
    <t>Glinu chlorek bezwodny</t>
  </si>
  <si>
    <t>Chempur 114534802</t>
  </si>
  <si>
    <t>di-Fosforu pentatlenek CZDA, ACS, ODCZ. FP op. 500 g</t>
  </si>
  <si>
    <t>111.</t>
  </si>
  <si>
    <t>Glinu chlorek 6.hydrat</t>
  </si>
  <si>
    <t>Chempur 114535203</t>
  </si>
  <si>
    <t>112.</t>
  </si>
  <si>
    <t>Glinu siarczan 18.hydrat</t>
  </si>
  <si>
    <t>Chempur 114547305</t>
  </si>
  <si>
    <t>Gliceryna bezwodna CZDA op. 1 dm3</t>
  </si>
  <si>
    <t>113.</t>
  </si>
  <si>
    <t>Glinu tlenek prażony</t>
  </si>
  <si>
    <t>Chempur 114560600</t>
  </si>
  <si>
    <t>114.</t>
  </si>
  <si>
    <t>Glukoza bezwodna</t>
  </si>
  <si>
    <t>Poch 459560117</t>
  </si>
  <si>
    <t>Glikol etylenowy TECHN op. 60 kg</t>
  </si>
  <si>
    <t>115.</t>
  </si>
  <si>
    <t>n-Heksan</t>
  </si>
  <si>
    <t>Poch 466310111</t>
  </si>
  <si>
    <t>Glikol etylenowy CZDA, ODCZ. FP op. 1 dm3</t>
  </si>
  <si>
    <t>116.</t>
  </si>
  <si>
    <t>n-Heksan 99%do HPLC</t>
  </si>
  <si>
    <t>Poch 466311155</t>
  </si>
  <si>
    <t>117.</t>
  </si>
  <si>
    <t>n-Heksan 95% do GC DO ANALIZY POZ.PESTYCYDÓW</t>
  </si>
  <si>
    <t>Poch 466310199</t>
  </si>
  <si>
    <t>118.</t>
  </si>
  <si>
    <t>n-Heksan 95% DO GC DO ANALIZ ŚRODOWISKOWYCH (trihalometany &lt;1 ppb)</t>
  </si>
  <si>
    <t>POCH 466310893</t>
  </si>
  <si>
    <t>zwiększone</t>
  </si>
  <si>
    <t>119.</t>
  </si>
  <si>
    <t>Heksan frakcja z nafty</t>
  </si>
  <si>
    <t>Poch 466400426</t>
  </si>
  <si>
    <t>120.</t>
  </si>
  <si>
    <t>Hematoksylina</t>
  </si>
  <si>
    <t>50 g</t>
  </si>
  <si>
    <t>bm</t>
  </si>
  <si>
    <t>Poch 468740121</t>
  </si>
  <si>
    <t>Glinu tlenek prażony CZDA op. 1 kg</t>
  </si>
  <si>
    <t>121.</t>
  </si>
  <si>
    <t>n-Heptan 99% do HPLC</t>
  </si>
  <si>
    <t>Poch 470471151</t>
  </si>
  <si>
    <t>D-(+)-Glukoza bezwodna CZDA, ACS, ODCZ. FP op. 1 kg</t>
  </si>
  <si>
    <t>122.</t>
  </si>
  <si>
    <t>n-Heptan 95% do HPLC</t>
  </si>
  <si>
    <t>Poch 470470156</t>
  </si>
  <si>
    <t>zła procentowość</t>
  </si>
  <si>
    <t>n-Heksan CZDA op. 1 dm3</t>
  </si>
  <si>
    <t>123.</t>
  </si>
  <si>
    <t>Hydroksyloaminy chlorowodorek</t>
  </si>
  <si>
    <t>Poch 479220111</t>
  </si>
  <si>
    <t>124.</t>
  </si>
  <si>
    <t>Izoamylowy alkohol</t>
  </si>
  <si>
    <t>500ml</t>
  </si>
  <si>
    <t>Poch 485560111</t>
  </si>
  <si>
    <t>n-Heksan 99% DO HPLC op. 2,5 dm3</t>
  </si>
  <si>
    <t>125.</t>
  </si>
  <si>
    <t>Izobutylowy alkohol</t>
  </si>
  <si>
    <t>Poch 486100112</t>
  </si>
  <si>
    <t>n-Heksan 95% DO GC DO ANALIZY POZ.PESTYCYDÓW op. 2,5 dm3</t>
  </si>
  <si>
    <t>126.</t>
  </si>
  <si>
    <t>Izooktan</t>
  </si>
  <si>
    <t>Poch 487270111</t>
  </si>
  <si>
    <t>n-Heksan 95% DO GC DO ANALIZ ŚRODOWISKOWYCH (trihalometany &lt;1 ppb) op. 2,5 dm3</t>
  </si>
  <si>
    <t>127.</t>
  </si>
  <si>
    <t xml:space="preserve">Izooktan czda </t>
  </si>
  <si>
    <t>Chempur 114872906</t>
  </si>
  <si>
    <t>Heksan - frakcja z nafty CZ op. 1 dm3</t>
  </si>
  <si>
    <t>128.</t>
  </si>
  <si>
    <t>Jod krystaliczny</t>
  </si>
  <si>
    <t>200 g</t>
  </si>
  <si>
    <t>Poch 491200114</t>
  </si>
  <si>
    <t>Hematoksylina BM op. 50 g</t>
  </si>
  <si>
    <t>129.</t>
  </si>
  <si>
    <t>Kalces sól sodowa</t>
  </si>
  <si>
    <t>Chempur 234984004</t>
  </si>
  <si>
    <t>n-Heptan 99% DO HPLC op. 2,5 dm3</t>
  </si>
  <si>
    <t>130.</t>
  </si>
  <si>
    <t>Ksylen (mieszanina izomerów)</t>
  </si>
  <si>
    <t>Poch 520860119</t>
  </si>
  <si>
    <t>n-Heptan 95% DO HPLC op. 2,5 dm3</t>
  </si>
  <si>
    <t>131.</t>
  </si>
  <si>
    <t>Kwas L(+)-askorbinowy</t>
  </si>
  <si>
    <t>Poch 529150113</t>
  </si>
  <si>
    <t>Hydroksyloaminy chlorowodorek CZDA, ACS, ODCZ. FP op. 500 g</t>
  </si>
  <si>
    <t>132.</t>
  </si>
  <si>
    <t>Kwas azotowy ok.. 65%</t>
  </si>
  <si>
    <t>Poch 529603115</t>
  </si>
  <si>
    <t>133.</t>
  </si>
  <si>
    <t>5 l</t>
  </si>
  <si>
    <t>Izoamylowy alkohol CZDA (ODCZ. FP VI) op. 500 cm3</t>
  </si>
  <si>
    <t>134.</t>
  </si>
  <si>
    <t>Izobutylowy alkohol CZDA op. 1 dm3</t>
  </si>
  <si>
    <t>135.</t>
  </si>
  <si>
    <t>Kwas azotowy DYM.100%</t>
  </si>
  <si>
    <t>Merck 100455</t>
  </si>
  <si>
    <t>Izooktan (2,2,4-Trimetylopentan) CZDA, ODCZ. FP op. 1 dm3</t>
  </si>
  <si>
    <t>136.</t>
  </si>
  <si>
    <t>Kwas azotowy</t>
  </si>
  <si>
    <t>Upa- ultra czysty</t>
  </si>
  <si>
    <t xml:space="preserve"> Romil SS12P</t>
  </si>
  <si>
    <t>137.</t>
  </si>
  <si>
    <t>Spa- super czysty do spektroskopii</t>
  </si>
  <si>
    <t xml:space="preserve"> Romil H566M</t>
  </si>
  <si>
    <t>dodałem 20 zł na transport</t>
  </si>
  <si>
    <t>mogą zakupić</t>
  </si>
  <si>
    <t>Jod krystaliczny CZDA op. 200 g</t>
  </si>
  <si>
    <t>138.</t>
  </si>
  <si>
    <t>Odważka analityczna kwas azotowy 0,1 mol/l (0,1 N) .</t>
  </si>
  <si>
    <t>Poch 529681166</t>
  </si>
  <si>
    <t>139.</t>
  </si>
  <si>
    <t>Kwas benzoesowy</t>
  </si>
  <si>
    <t>250 g</t>
  </si>
  <si>
    <t>Chempur 115302300</t>
  </si>
  <si>
    <t>Ksylen (mieszanina izomerów) CZDA, ACS, ODCZ. FP op. 1 dm3</t>
  </si>
  <si>
    <t>140.</t>
  </si>
  <si>
    <t>Kwas borowy</t>
  </si>
  <si>
    <t>Poch 531360115</t>
  </si>
  <si>
    <t>poch - wycofane</t>
  </si>
  <si>
    <t>Kwas L(+)-askorbinowy CZDA, ACS, Ph.Eur. op. 500 g</t>
  </si>
  <si>
    <t>141.</t>
  </si>
  <si>
    <t>Kwas cytrynowy 1 .hydrat</t>
  </si>
  <si>
    <t>Poch 538210118</t>
  </si>
  <si>
    <t>Kwas azotowy 65% CZDA, ODCZ. FP op. 1 dm3</t>
  </si>
  <si>
    <t>142.</t>
  </si>
  <si>
    <t>Kwas masłowy</t>
  </si>
  <si>
    <t>250 ml</t>
  </si>
  <si>
    <t>Poch 561200426</t>
  </si>
  <si>
    <t>Kwas azotowy 65% CZDA, ODCZ. FP op. 5 dm3</t>
  </si>
  <si>
    <t>143.</t>
  </si>
  <si>
    <t>Kwas mlekowy 88%</t>
  </si>
  <si>
    <t>Poch 564240116</t>
  </si>
  <si>
    <t>144.</t>
  </si>
  <si>
    <t>Kwas mrówkowy 85%</t>
  </si>
  <si>
    <t>Poch 564640111</t>
  </si>
  <si>
    <t>145.</t>
  </si>
  <si>
    <t>Kwas nadchlorowy 70%</t>
  </si>
  <si>
    <t>chempur 115649708</t>
  </si>
  <si>
    <t>146.</t>
  </si>
  <si>
    <t>Kwas nadchlorowy 60% CZDA</t>
  </si>
  <si>
    <t>chempur 115649402</t>
  </si>
  <si>
    <t>147.</t>
  </si>
  <si>
    <t>Kwas nadchlorowy</t>
  </si>
  <si>
    <t xml:space="preserve"> Romil H584P</t>
  </si>
  <si>
    <t>5% marży</t>
  </si>
  <si>
    <t>TitraFix(TM) Plus NIST standard odważka analityczna kwas azotowy 0,1 mol/l op. 1</t>
  </si>
  <si>
    <t>148.</t>
  </si>
  <si>
    <t>Kwas nadjodowy</t>
  </si>
  <si>
    <t>Chempur 115652404</t>
  </si>
  <si>
    <t>149.</t>
  </si>
  <si>
    <t>Odważka analityczna kwas octowy 0,1 mol/l (0,1 N)</t>
  </si>
  <si>
    <t>Poch 568705163</t>
  </si>
  <si>
    <t>chempur-165687031, 7,95</t>
  </si>
  <si>
    <t>150.</t>
  </si>
  <si>
    <t>Kwas octowy min. 99,5%</t>
  </si>
  <si>
    <t>Poch 568760114</t>
  </si>
  <si>
    <t>10,51-basic</t>
  </si>
  <si>
    <t>151.</t>
  </si>
  <si>
    <t>Kwas cytrynowy 1 . hydrat CZDA op. 1 kg</t>
  </si>
  <si>
    <t>152.</t>
  </si>
  <si>
    <t>Kwas octowy</t>
  </si>
  <si>
    <t>Romil SS62P</t>
  </si>
  <si>
    <t>Kwas masłowy CZ op. 250 cm3</t>
  </si>
  <si>
    <t>153.</t>
  </si>
  <si>
    <t>Kwas ortofosforowy(V) 85%</t>
  </si>
  <si>
    <t>Poch 569150111</t>
  </si>
  <si>
    <t>Kwas mlekowy 88% CZDA op. 500 cm3</t>
  </si>
  <si>
    <t>154.</t>
  </si>
  <si>
    <t>Kwas propionowy</t>
  </si>
  <si>
    <t>Acros 14930</t>
  </si>
  <si>
    <t>Kwas mrówkowy 85% CZDA op. 1 dm3</t>
  </si>
  <si>
    <t>155.</t>
  </si>
  <si>
    <t>Kwas salicylowy</t>
  </si>
  <si>
    <t>Chempur 115746000</t>
  </si>
  <si>
    <t>zamieniłem na Chempur</t>
  </si>
  <si>
    <t>oferujemy Chempur</t>
  </si>
  <si>
    <t>156.</t>
  </si>
  <si>
    <t>Kwas siarkowy (VI) min. 95%</t>
  </si>
  <si>
    <t>Poch 575000115</t>
  </si>
  <si>
    <t>13,48-basic</t>
  </si>
  <si>
    <t>157.</t>
  </si>
  <si>
    <t>Kwas siarkowy 95%</t>
  </si>
  <si>
    <t>158.</t>
  </si>
  <si>
    <t>10 l</t>
  </si>
  <si>
    <t>TitraFix(TM) Plus NIST standard odważka analityczna kwas octowy 0,1 mol/l op. 1 szt</t>
  </si>
  <si>
    <t>159.</t>
  </si>
  <si>
    <t>Honneywell 10316741</t>
  </si>
  <si>
    <t>Kwas octowy 99,5%--99,9% CZDA op. 1 dm3</t>
  </si>
  <si>
    <t>160.</t>
  </si>
  <si>
    <t>Kwas siarkowy</t>
  </si>
  <si>
    <t xml:space="preserve"> Romil SS32P</t>
  </si>
  <si>
    <t>30% poniżej c.z.</t>
  </si>
  <si>
    <t>161.</t>
  </si>
  <si>
    <t xml:space="preserve"> Romil H691L</t>
  </si>
  <si>
    <t>zmieniłem opakowanie</t>
  </si>
  <si>
    <t>Kwas ortofosforowy(V) 85% CZDA, ODCZ. FP op. 1 dm3</t>
  </si>
  <si>
    <t>162.</t>
  </si>
  <si>
    <t>Odważka analityczna kwas siarkowy 0,05 mol/l (0,1 N)</t>
  </si>
  <si>
    <t>szt</t>
  </si>
  <si>
    <t>Poch 575102160</t>
  </si>
  <si>
    <t>19,74 b2b</t>
  </si>
  <si>
    <t xml:space="preserve">avantor </t>
  </si>
  <si>
    <t>Kwas propionowy CZDA op. 1 dm3</t>
  </si>
  <si>
    <t>163.</t>
  </si>
  <si>
    <t>Kwas siarkowy (VI) 5 mol/l (10 N) roztwór mianowany</t>
  </si>
  <si>
    <t>poch 575069168</t>
  </si>
  <si>
    <t>Kwas salicylowy CZDA, ACS op. 1 kg</t>
  </si>
  <si>
    <t>164.</t>
  </si>
  <si>
    <t>Kwas solny 35 - 38%</t>
  </si>
  <si>
    <t>Poch 575283115</t>
  </si>
  <si>
    <t>4,82 - basic box</t>
  </si>
  <si>
    <t>165.</t>
  </si>
  <si>
    <t>Kwas solny 35-38%</t>
  </si>
  <si>
    <t>Kwas siarkowy (VI) min. 95% CZDA op. 1 dm3</t>
  </si>
  <si>
    <t>166.</t>
  </si>
  <si>
    <t>Honneywell 10315087</t>
  </si>
  <si>
    <t>Kwas siarkowy (VI) min. 95% CZDA op. 5 dm3</t>
  </si>
  <si>
    <t>167.</t>
  </si>
  <si>
    <t xml:space="preserve">Kwas solny r-r 35-38% czda </t>
  </si>
  <si>
    <t>Chempur 115752837</t>
  </si>
  <si>
    <t>Kwas siarkowy (VI) min. 95% CZDA op. 10 dm3</t>
  </si>
  <si>
    <t>168.</t>
  </si>
  <si>
    <t>Kwas solny</t>
  </si>
  <si>
    <t xml:space="preserve"> Romil SS42P</t>
  </si>
  <si>
    <t>169.</t>
  </si>
  <si>
    <t xml:space="preserve"> Romil H396M</t>
  </si>
  <si>
    <t>170.</t>
  </si>
  <si>
    <t>Odważka analityczna kwas solny 0,1 mol/l (0,1 N)</t>
  </si>
  <si>
    <t>Poch 575352164</t>
  </si>
  <si>
    <t>realizujemy zwykłą</t>
  </si>
  <si>
    <t>19,35b2b</t>
  </si>
  <si>
    <t>171.</t>
  </si>
  <si>
    <t>Kwas sulfanilowy</t>
  </si>
  <si>
    <t>Chempur 115756008</t>
  </si>
  <si>
    <t>TitraFix(TM) Plus NIST standard odważka analityczna kwas siarkowy 0,05 mol/l op. 1 szt</t>
  </si>
  <si>
    <t>172.</t>
  </si>
  <si>
    <t>Kwas szczawiowy 2.hydrat ODP. ACS, ODCZ. FP VI</t>
  </si>
  <si>
    <t>Chempur 115758600</t>
  </si>
  <si>
    <t>173.</t>
  </si>
  <si>
    <t>Odważka analityczna kwas szczawiowy 0,05 mol/l (0,1 N)</t>
  </si>
  <si>
    <t>Poch 575884160</t>
  </si>
  <si>
    <t>Kwas siarkowy (VI) 5 mol/l (10 N) roztwór mianowany op. 1 dm3</t>
  </si>
  <si>
    <t>174.</t>
  </si>
  <si>
    <t>Kwas trichlorooctowy</t>
  </si>
  <si>
    <t>Poch 577970115</t>
  </si>
  <si>
    <t>Kwas solny 35 - 38% CZDA op. 1 dm3</t>
  </si>
  <si>
    <t>175.</t>
  </si>
  <si>
    <t xml:space="preserve">Kwas winowy </t>
  </si>
  <si>
    <t>Poch 593360111</t>
  </si>
  <si>
    <t>Kwas solny 35 - 38% CZDA op. 5 dm3</t>
  </si>
  <si>
    <t>176.</t>
  </si>
  <si>
    <t>Lakmus</t>
  </si>
  <si>
    <t>5 g</t>
  </si>
  <si>
    <t>Poch 595080211</t>
  </si>
  <si>
    <t>wycofane</t>
  </si>
  <si>
    <t>chem*215950806*5g</t>
  </si>
  <si>
    <t>177.</t>
  </si>
  <si>
    <t>Litu chlorek 1 .hydrat</t>
  </si>
  <si>
    <t>chempur 116026600</t>
  </si>
  <si>
    <t>178.</t>
  </si>
  <si>
    <t>Litu wodorotlenek</t>
  </si>
  <si>
    <t>Chempur 116048708</t>
  </si>
  <si>
    <t>179.</t>
  </si>
  <si>
    <t>Magnezu azotan 6.hydrat</t>
  </si>
  <si>
    <t>Poch 611770111</t>
  </si>
  <si>
    <t>180.</t>
  </si>
  <si>
    <t>Magnezu chlorek 6.hydrat</t>
  </si>
  <si>
    <t>Chempur 116120500</t>
  </si>
  <si>
    <t>181.</t>
  </si>
  <si>
    <t>Magnezu siarczan bezwodny</t>
  </si>
  <si>
    <t>Chempur 116137606</t>
  </si>
  <si>
    <t>TitraFix(TM) Plus NIST standard odważka analityczna kwas solny 0,1 mol/l op. 1 szt</t>
  </si>
  <si>
    <t>182.</t>
  </si>
  <si>
    <t>Magnezu siarczan 7.hydrat</t>
  </si>
  <si>
    <t>Chempur 116137800</t>
  </si>
  <si>
    <t>183.</t>
  </si>
  <si>
    <t>Magnezu tlenek</t>
  </si>
  <si>
    <t>Poch 614020111</t>
  </si>
  <si>
    <t>184.</t>
  </si>
  <si>
    <t>Magnezu węglan zas.</t>
  </si>
  <si>
    <t>chempur 116142000</t>
  </si>
  <si>
    <t>185.</t>
  </si>
  <si>
    <t>Mangan, roztwór wzorcowy do ICP w odn. do SRM z NIST Mn(NO3)2 w HNO3 2-3% 1000 mg/l Mn CertiPUR</t>
  </si>
  <si>
    <t>100ml</t>
  </si>
  <si>
    <t>Merck 170332</t>
  </si>
  <si>
    <t>186.</t>
  </si>
  <si>
    <t>Manganu (II) azotan 4.hydrat</t>
  </si>
  <si>
    <t>Poch 615820113</t>
  </si>
  <si>
    <t>Kwas trichlorooctowy CZDA op. 1 kg</t>
  </si>
  <si>
    <t>187.</t>
  </si>
  <si>
    <t>Manganu (II) chlorek 4.hydrat</t>
  </si>
  <si>
    <t>Poch 615960115</t>
  </si>
  <si>
    <t>Kwas L (+) winowy CZDA, ACS op. 1 kg</t>
  </si>
  <si>
    <t>188.</t>
  </si>
  <si>
    <t>Manganu siarczan 1.hydrat</t>
  </si>
  <si>
    <t>Chempur 116169409</t>
  </si>
  <si>
    <t>189.</t>
  </si>
  <si>
    <t>Metanol</t>
  </si>
  <si>
    <t>Poch 621990110</t>
  </si>
  <si>
    <t>6,3-basic</t>
  </si>
  <si>
    <t>190.</t>
  </si>
  <si>
    <t xml:space="preserve">Metanol do HPLC   </t>
  </si>
  <si>
    <t>Poch 621991154</t>
  </si>
  <si>
    <t>Magnezu azotan 6 . hydrat CZDA op. 1 kg</t>
  </si>
  <si>
    <t>191.</t>
  </si>
  <si>
    <t>Metanol DO HPLC - SUPER GRADIENT</t>
  </si>
  <si>
    <t>Poch 621995156</t>
  </si>
  <si>
    <t>zmieniłem ilość</t>
  </si>
  <si>
    <t>Magnezu chlorek 6 . hydrat CZDA op. 1 kg</t>
  </si>
  <si>
    <t>192.</t>
  </si>
  <si>
    <t>Metanol SpS 215</t>
  </si>
  <si>
    <t>Romil H409L</t>
  </si>
  <si>
    <t>20% musi być tańszy niż POCH</t>
  </si>
  <si>
    <t>wyceniamy</t>
  </si>
  <si>
    <t>193.</t>
  </si>
  <si>
    <t>2-Metylo-2-propanol</t>
  </si>
  <si>
    <t>Poch 642860119</t>
  </si>
  <si>
    <t>194.</t>
  </si>
  <si>
    <t>Dimetylu sulfotlenek (DMSO)</t>
  </si>
  <si>
    <t>Poch 363550117</t>
  </si>
  <si>
    <t>Magnezu tlenek CZDA op. 100 g</t>
  </si>
  <si>
    <t>195.</t>
  </si>
  <si>
    <t>Dimetylu sulfotlenek DO HPLC</t>
  </si>
  <si>
    <t>Poch 363550156</t>
  </si>
  <si>
    <t>196.</t>
  </si>
  <si>
    <t>Miedzi (II) chlorek 2.hydrat</t>
  </si>
  <si>
    <t>Chempur 116565404</t>
  </si>
  <si>
    <t>197.</t>
  </si>
  <si>
    <t>Miedzi (II) azotan 3.hydrat</t>
  </si>
  <si>
    <t>Chempur 116570600</t>
  </si>
  <si>
    <t>198.</t>
  </si>
  <si>
    <t>Miedzi (II) octan</t>
  </si>
  <si>
    <t>Chempur 116579304</t>
  </si>
  <si>
    <t>Manganu (II) chlorek 4 . hydrat CZDA op. 250 g</t>
  </si>
  <si>
    <t>199.</t>
  </si>
  <si>
    <t>Miedzi (II) siarczan bezwodny</t>
  </si>
  <si>
    <t>Poch 658280114</t>
  </si>
  <si>
    <t>Manganu (II) siarczan 1 . hydrat CZDA, ACS op. 500 g</t>
  </si>
  <si>
    <t>200.</t>
  </si>
  <si>
    <t>Miedzi (II) siarczan 5.hydrat</t>
  </si>
  <si>
    <t>Chempur 116583101</t>
  </si>
  <si>
    <t>Metanol CZDA, ODCZ. FP op. 1 dm3</t>
  </si>
  <si>
    <t>201.</t>
  </si>
  <si>
    <t>Mocznik</t>
  </si>
  <si>
    <t>Chempur 116615309</t>
  </si>
  <si>
    <t>202.</t>
  </si>
  <si>
    <t>Mucasol</t>
  </si>
  <si>
    <t>Metanol DO HPLC - SUPER GRADIENT op. 2,5 dm3</t>
  </si>
  <si>
    <t>203.</t>
  </si>
  <si>
    <t>2 l</t>
  </si>
  <si>
    <t>2-Metylo-2-propanol CZDA, ACS op. 1 dm3</t>
  </si>
  <si>
    <t>204.</t>
  </si>
  <si>
    <t>Nadsiarczan potasu 100 szt.</t>
  </si>
  <si>
    <t>HC-245199</t>
  </si>
  <si>
    <t>OMC Envag</t>
  </si>
  <si>
    <t>udzielono rabat 7%</t>
  </si>
  <si>
    <t>205.</t>
  </si>
  <si>
    <t>1-Naftyloamina do syntezy</t>
  </si>
  <si>
    <t>Merck 822291</t>
  </si>
  <si>
    <t>Dimetylu sulfotlenek CZDA, ODCZ. FP op. 1 dm3</t>
  </si>
  <si>
    <t>206.</t>
  </si>
  <si>
    <t>N-(1-Naftylo)etylenodiamimy dichlorowodorek</t>
  </si>
  <si>
    <t>10 g</t>
  </si>
  <si>
    <t>Poch 669940116</t>
  </si>
  <si>
    <t>Dimetylu sulfotlenek DO HPLC op. 2,5 dm3</t>
  </si>
  <si>
    <t>207.</t>
  </si>
  <si>
    <t>N,N-Dimetyloformamid</t>
  </si>
  <si>
    <t>Poch 355122152</t>
  </si>
  <si>
    <t>208.</t>
  </si>
  <si>
    <t>Octowy bezwodnik</t>
  </si>
  <si>
    <t>Poch 693870115</t>
  </si>
  <si>
    <t>209.</t>
  </si>
  <si>
    <t>Odczynnik Nesslera</t>
  </si>
  <si>
    <t>Chempur 116947602</t>
  </si>
  <si>
    <t>210.</t>
  </si>
  <si>
    <t>Odczynnik Folina i Ciocalteu'a</t>
  </si>
  <si>
    <t>Chermpur 116943507*1l</t>
  </si>
  <si>
    <t>211.</t>
  </si>
  <si>
    <t>Olej parafinowy do spektroskopii</t>
  </si>
  <si>
    <t>Poch 700290496</t>
  </si>
  <si>
    <t>Miedzi (II) siarczan bezwodny CZDA op. 500 g</t>
  </si>
  <si>
    <t>212.</t>
  </si>
  <si>
    <t>Oranż metylowy</t>
  </si>
  <si>
    <t>Chempur 217046301</t>
  </si>
  <si>
    <t>213.</t>
  </si>
  <si>
    <t>Parafina do mikroskopii T.T.56°C</t>
  </si>
  <si>
    <t>Poch 714456597</t>
  </si>
  <si>
    <t>214.</t>
  </si>
  <si>
    <t>Paski wskaźnikowe pH 5,00-10,00</t>
  </si>
  <si>
    <t>1 opak.</t>
  </si>
  <si>
    <t>Merck 109533</t>
  </si>
  <si>
    <t>215.</t>
  </si>
  <si>
    <t>Paski wskaźnikowe pH 6,6-8,1</t>
  </si>
  <si>
    <t>Eurochem</t>
  </si>
  <si>
    <t>eurochem</t>
  </si>
  <si>
    <t>N-(1-Naftylo)etylenodiaminy dichlorowodorek CZDA, ACS op. 10 g</t>
  </si>
  <si>
    <t>216.</t>
  </si>
  <si>
    <t>Paski wskaźnikowe pH 7,0-10,0</t>
  </si>
  <si>
    <t>MN 90305</t>
  </si>
  <si>
    <t>VWR</t>
  </si>
  <si>
    <t>vwr</t>
  </si>
  <si>
    <t>Octowy bezwodnik CZDA, ACS, ODCZ. FP op. 1 dm3</t>
  </si>
  <si>
    <t>217.</t>
  </si>
  <si>
    <t xml:space="preserve">Paski wskaźnikowe pH 0-14 </t>
  </si>
  <si>
    <t>rorka</t>
  </si>
  <si>
    <t>218.</t>
  </si>
  <si>
    <t>Paski wskaźnikowe lakmusowe obojętne</t>
  </si>
  <si>
    <t>219.</t>
  </si>
  <si>
    <t>n-Pentan</t>
  </si>
  <si>
    <t>Poch 717920113</t>
  </si>
  <si>
    <t>220.</t>
  </si>
  <si>
    <t>n-Pentan 99% DO GC DO ANALIZ ŚRODOWISKOWYCH (TRIHALOMETANY &lt;1ppb)</t>
  </si>
  <si>
    <t>Poch 717921891</t>
  </si>
  <si>
    <t>221.</t>
  </si>
  <si>
    <t>n-Pentan 99% DO HPLC</t>
  </si>
  <si>
    <t>HPL</t>
  </si>
  <si>
    <t xml:space="preserve"> POCH 717921158</t>
  </si>
  <si>
    <t>222.</t>
  </si>
  <si>
    <t>1-Pentanol</t>
  </si>
  <si>
    <t>Poch 718340113</t>
  </si>
  <si>
    <t>Parafina do mikroskopii t.t. 56°C op. 1 kg</t>
  </si>
  <si>
    <t>223.</t>
  </si>
  <si>
    <t>Pepton (Aminobak)</t>
  </si>
  <si>
    <t>BTL S-0002</t>
  </si>
  <si>
    <t>224.</t>
  </si>
  <si>
    <t>Podłoże LB MIX</t>
  </si>
  <si>
    <t>BTL-P-0279</t>
  </si>
  <si>
    <t>225.</t>
  </si>
  <si>
    <t>Podłoże z żółcią i zielenią brylantową</t>
  </si>
  <si>
    <t>BTL P0036</t>
  </si>
  <si>
    <t>226.</t>
  </si>
  <si>
    <t>Potasu sodu winian 4.hydrat</t>
  </si>
  <si>
    <t>Chempur 117381704</t>
  </si>
  <si>
    <t>227.</t>
  </si>
  <si>
    <t>Potasu azotan</t>
  </si>
  <si>
    <t>Chempur 117309100</t>
  </si>
  <si>
    <t>228.</t>
  </si>
  <si>
    <t>Potasu chloran ekstra czysty, 99%</t>
  </si>
  <si>
    <t>ACRS20886</t>
  </si>
  <si>
    <t>36,61*4,3</t>
  </si>
  <si>
    <t>229.</t>
  </si>
  <si>
    <t>Potasu chromian</t>
  </si>
  <si>
    <t>Chempur 117402503</t>
  </si>
  <si>
    <t>230.</t>
  </si>
  <si>
    <t>Potasu chlorek</t>
  </si>
  <si>
    <t>Chempur 427397401</t>
  </si>
  <si>
    <t>231.</t>
  </si>
  <si>
    <t>tri-Potasu cytrynian 1.hydrat</t>
  </si>
  <si>
    <t>Poch 740700113</t>
  </si>
  <si>
    <t>wyceniamy Chempur</t>
  </si>
  <si>
    <t>chem*117407009*1kg</t>
  </si>
  <si>
    <t>232.</t>
  </si>
  <si>
    <t>Potasu dichromian</t>
  </si>
  <si>
    <t>Chempur 117410408</t>
  </si>
  <si>
    <t>n-Pentan CZDA, ODCZ. FP op. 1 dm3</t>
  </si>
  <si>
    <t>233.</t>
  </si>
  <si>
    <t>Odważka analityczna potasu dichromian 1/60 mol/l (0,1 N)</t>
  </si>
  <si>
    <t>1 op</t>
  </si>
  <si>
    <t>Poch 741100161</t>
  </si>
  <si>
    <t>zmieniłem numer</t>
  </si>
  <si>
    <t>20,37b2b</t>
  </si>
  <si>
    <t>n-Pentan 99% DO GC DO ANALIZ ŚRODOWISKOWYCH (TRIHALOMETANY &lt;1ppb) op. 1 dm3</t>
  </si>
  <si>
    <t>234.</t>
  </si>
  <si>
    <t>Potasu diwodorofosforan</t>
  </si>
  <si>
    <t>Poch 742020112</t>
  </si>
  <si>
    <t>n-Pentan 99% DO HPLC op. 2,5 dm3</t>
  </si>
  <si>
    <t>235.</t>
  </si>
  <si>
    <t>di-Potasu wodorofosforan</t>
  </si>
  <si>
    <t>Chempur 117421000</t>
  </si>
  <si>
    <t>1-Pentanol CZDA, ACS op. 1 dm3</t>
  </si>
  <si>
    <t>236.</t>
  </si>
  <si>
    <t>237.</t>
  </si>
  <si>
    <t>Potasu fluorek 2.hydrat</t>
  </si>
  <si>
    <t>Chempur 117414004</t>
  </si>
  <si>
    <t>238.</t>
  </si>
  <si>
    <t>Potasu jodek</t>
  </si>
  <si>
    <t>Poch 743160117</t>
  </si>
  <si>
    <t>239.</t>
  </si>
  <si>
    <t>240.</t>
  </si>
  <si>
    <t>Potasu azotan CZDA op. 1 kg</t>
  </si>
  <si>
    <t>241.</t>
  </si>
  <si>
    <t>242.</t>
  </si>
  <si>
    <t>Potasu jodan</t>
  </si>
  <si>
    <t>Chempur 117430801</t>
  </si>
  <si>
    <t>Potasu chlorek CZDA op. 1 kg</t>
  </si>
  <si>
    <t>243.</t>
  </si>
  <si>
    <t>Odważka analityczna potasu jodek 0,1 mol/l (0,1 N)</t>
  </si>
  <si>
    <t>Poch 743180162</t>
  </si>
  <si>
    <t>244.</t>
  </si>
  <si>
    <t>Potasu nadmanganian</t>
  </si>
  <si>
    <t>Poch 743880111</t>
  </si>
  <si>
    <t>245.</t>
  </si>
  <si>
    <t>Odważka analityczna potasu nadmanganian 0,02 mol/l</t>
  </si>
  <si>
    <t>Poch 743895163</t>
  </si>
  <si>
    <t>246.</t>
  </si>
  <si>
    <t>Potasu nadsiarczan</t>
  </si>
  <si>
    <t>Poch 743970111</t>
  </si>
  <si>
    <t>TitraFix(TM) odważka analityczna potasu dichromian 1/60 mol/l (0,1 N) . (ciecz) op. 1 szt</t>
  </si>
  <si>
    <t>247.</t>
  </si>
  <si>
    <t>Potasu octan bezwodny</t>
  </si>
  <si>
    <t>Poch 744330113</t>
  </si>
  <si>
    <t>Potasu diwodorofosforan CZDA, ODCZ. FP op. 1 kg</t>
  </si>
  <si>
    <t>248.</t>
  </si>
  <si>
    <t>Chempur 427443302</t>
  </si>
  <si>
    <t>249.</t>
  </si>
  <si>
    <t>Potasu pirosiarczan</t>
  </si>
  <si>
    <t>Poch 744730118</t>
  </si>
  <si>
    <t>wyceniony Chempur</t>
  </si>
  <si>
    <t>250.</t>
  </si>
  <si>
    <t>Potasu rodanek</t>
  </si>
  <si>
    <t>Poch 745500110</t>
  </si>
  <si>
    <t>251.</t>
  </si>
  <si>
    <t>Odważka analityczna potasu rodanek 0,1 mol/l (0,1 N)</t>
  </si>
  <si>
    <t>Poch 745523161</t>
  </si>
  <si>
    <t>252.</t>
  </si>
  <si>
    <t>Potasu siarczan</t>
  </si>
  <si>
    <t>Chempur 117457203</t>
  </si>
  <si>
    <t>Potasu jodek CZDA op. 500 g</t>
  </si>
  <si>
    <t>253.</t>
  </si>
  <si>
    <t>Potasu jodek CZDA op. 1 kg</t>
  </si>
  <si>
    <t>254.</t>
  </si>
  <si>
    <t xml:space="preserve">Potasu`siarczan </t>
  </si>
  <si>
    <t>Potasu jodek CZDA op. 250 g</t>
  </si>
  <si>
    <t>255.</t>
  </si>
  <si>
    <t>256.</t>
  </si>
  <si>
    <t>Chempur 427457202</t>
  </si>
  <si>
    <t>257.</t>
  </si>
  <si>
    <t>Potasu wodorosiarczan</t>
  </si>
  <si>
    <t>Acros 20775</t>
  </si>
  <si>
    <t>TitraFix(TM) odważka analityczna potasu jodek 0,1 mol/l (0,1 N) (ciecz) op. 1 szt</t>
  </si>
  <si>
    <t>258.</t>
  </si>
  <si>
    <t>Potasu węglan bezwodny</t>
  </si>
  <si>
    <t>Poch 746570114</t>
  </si>
  <si>
    <t>Potasu nadmanganian CZDA op. 500 g</t>
  </si>
  <si>
    <t>259.</t>
  </si>
  <si>
    <t>Potasu wodorowęglan</t>
  </si>
  <si>
    <t>Poch 746640114</t>
  </si>
  <si>
    <t>TitraFix(TM) Plus NIST standard odważka analityczna potasu nadmanganian 0,002 mol/l op. 1 szt</t>
  </si>
  <si>
    <t>260.</t>
  </si>
  <si>
    <t>Potasu wodorotlenek</t>
  </si>
  <si>
    <t>Poch 746800113</t>
  </si>
  <si>
    <t>Potasu nadsiarczan CZDA op. 500 g</t>
  </si>
  <si>
    <t>261.</t>
  </si>
  <si>
    <t>Odważka analityczna potasu wodorotlenek 0,1 mol/l</t>
  </si>
  <si>
    <t>Poch 746843166</t>
  </si>
  <si>
    <t>można realizować bez Nista</t>
  </si>
  <si>
    <t>chem*167468238*1szt</t>
  </si>
  <si>
    <t>Potasu octan bezwodny CZDA op. 1 kg</t>
  </si>
  <si>
    <t>262.</t>
  </si>
  <si>
    <t>1-Propanol</t>
  </si>
  <si>
    <t>Poch 751460114</t>
  </si>
  <si>
    <t>263.</t>
  </si>
  <si>
    <t>1-Propanol DO HPLC</t>
  </si>
  <si>
    <t>Chempur 617514602</t>
  </si>
  <si>
    <t>zwiększamy</t>
  </si>
  <si>
    <t>Potasu rodanek CZDA, ODCZ. FP op. 250 g</t>
  </si>
  <si>
    <t>264.</t>
  </si>
  <si>
    <t>2-Propanol</t>
  </si>
  <si>
    <t>Poch 751500111</t>
  </si>
  <si>
    <t>10,9-basic</t>
  </si>
  <si>
    <t>TitraFix(TM) odważka analityczna potasu rodanek 0,1 mol/l (0,1 N) (ciecz) op. 1 szt</t>
  </si>
  <si>
    <t>265.</t>
  </si>
  <si>
    <t>266.</t>
  </si>
  <si>
    <t>2-Propanol (Izopropanol) DO HPLC</t>
  </si>
  <si>
    <t>Poch 751502151</t>
  </si>
  <si>
    <t>267.</t>
  </si>
  <si>
    <t>Rezorcyna</t>
  </si>
  <si>
    <t>10g</t>
  </si>
  <si>
    <t>czysta</t>
  </si>
  <si>
    <t>POCH 763460428</t>
  </si>
  <si>
    <t>268.</t>
  </si>
  <si>
    <t xml:space="preserve">Roztwór A do oznaczania ChZT </t>
  </si>
  <si>
    <t>65ml</t>
  </si>
  <si>
    <t>Merck 114538</t>
  </si>
  <si>
    <t>269.</t>
  </si>
  <si>
    <t>Roztwór B do oznaczania ChZT</t>
  </si>
  <si>
    <t>495ml</t>
  </si>
  <si>
    <t>Merck 114682</t>
  </si>
  <si>
    <t>270.</t>
  </si>
  <si>
    <t>Merck 114539</t>
  </si>
  <si>
    <t>271.</t>
  </si>
  <si>
    <t>Roztwór buforowy pH 2,0 +/- 0,05</t>
  </si>
  <si>
    <t>1OP</t>
  </si>
  <si>
    <t>Poch 765470175</t>
  </si>
  <si>
    <t>272.</t>
  </si>
  <si>
    <t>Roztwór buforowy pH 3,0 +/- 0,05</t>
  </si>
  <si>
    <t>Poch 765545172</t>
  </si>
  <si>
    <t>273.</t>
  </si>
  <si>
    <t>Roztwór buforowy pH 4,0 +/- 0,05</t>
  </si>
  <si>
    <t>Poch 765575176</t>
  </si>
  <si>
    <t>Potasu wodorosiarczan do analizy, 98,5% /ACROS 207755000/ op. 500 g</t>
  </si>
  <si>
    <t>274.</t>
  </si>
  <si>
    <t>Roztwór buforowy pH 5,0 +/- 0,05</t>
  </si>
  <si>
    <t>Poch 765745170</t>
  </si>
  <si>
    <t>Potasu węglan bezwodny CZDA op. 1 kg</t>
  </si>
  <si>
    <t>275.</t>
  </si>
  <si>
    <t>Roztwór buforowy pH 6,0 +/- 0,05</t>
  </si>
  <si>
    <t>Poch 765785178</t>
  </si>
  <si>
    <t>Potasu wodorowęglan CZDA op. 1 kg</t>
  </si>
  <si>
    <t>276.</t>
  </si>
  <si>
    <t>Roztwór buforowy pH 7,0 +/- 0,05</t>
  </si>
  <si>
    <t>Poch 765935172</t>
  </si>
  <si>
    <t>Potasu wodorotlenek CZDA, ODCZ. FP op. 1 kg</t>
  </si>
  <si>
    <t>277.</t>
  </si>
  <si>
    <t>Roztwór buforowy pH 8,0 +/- 0,05</t>
  </si>
  <si>
    <t>Poch 766125171</t>
  </si>
  <si>
    <t>TitraFix(TM) Plus NIST standard odważka analityczna potasu wodorotlenek 0,1 mol/l op. 1 szt</t>
  </si>
  <si>
    <t>278.</t>
  </si>
  <si>
    <t>Roztwór buforowy pH 9,0 +/- 0,05</t>
  </si>
  <si>
    <t>Poch 766185179</t>
  </si>
  <si>
    <t>1-Propanol CZDA, ACS, ODCZ. FP op. 1 dm3</t>
  </si>
  <si>
    <t>279.</t>
  </si>
  <si>
    <t>Roztwór buforowy pH 10,0 +/- 0,05</t>
  </si>
  <si>
    <t>Poch 766305170</t>
  </si>
  <si>
    <t>280.</t>
  </si>
  <si>
    <t>Rtęci (I) chlorek</t>
  </si>
  <si>
    <t>chempur 117681502</t>
  </si>
  <si>
    <t>2-Propanol (Izopropanol) CZDA, ODCZ. FP op. 1 dm3</t>
  </si>
  <si>
    <t>281.</t>
  </si>
  <si>
    <t>Rtęci (II) chlorek</t>
  </si>
  <si>
    <t>chempur 117681505</t>
  </si>
  <si>
    <t>282.</t>
  </si>
  <si>
    <t>Sacharoza</t>
  </si>
  <si>
    <t>Chempur 117720907</t>
  </si>
  <si>
    <t>2-Propanol (Izopropanol) DO HPLC op. 2,5 dm3</t>
  </si>
  <si>
    <t>283.</t>
  </si>
  <si>
    <t>Siarczany test Metoda: fotometryczna r 25 - 300 mg/l SO4(2)(-)</t>
  </si>
  <si>
    <t>Merck 114791</t>
  </si>
  <si>
    <t>284.</t>
  </si>
  <si>
    <t>Siarczyny test Metoda: fotometryczna 1.0 - 60.0 mg/l SO3(2)(-)</t>
  </si>
  <si>
    <t>Merck 101746</t>
  </si>
  <si>
    <t>285.</t>
  </si>
  <si>
    <t>Siarczki test Metoda: kolorymetryczna 0.1 - 0.3 - 0.5 - 0.7 - 1 - 2 - 3 - 4 - 5 mg/l S
(2)(-)</t>
  </si>
  <si>
    <t>Merck 114777</t>
  </si>
  <si>
    <t>286.</t>
  </si>
  <si>
    <t>Siarka sublimowana</t>
  </si>
  <si>
    <t>Poch 779670111</t>
  </si>
  <si>
    <t>Rezorcyna CZ op. 10 g</t>
  </si>
  <si>
    <t>287.</t>
  </si>
  <si>
    <t>Sita molekularne typ 4A</t>
  </si>
  <si>
    <t>Chempur 467875004</t>
  </si>
  <si>
    <t>Roztwór buforowy pH 2,00 +/- 0,05 op. 100 cm3</t>
  </si>
  <si>
    <t>288.</t>
  </si>
  <si>
    <t>Smar silikonowy DO CELÓW LABORATORYJNYCH</t>
  </si>
  <si>
    <t>Poch 786260536</t>
  </si>
  <si>
    <t>Roztwór buforowy pH 3,00 +/- 0,05 op. 100 cm3</t>
  </si>
  <si>
    <t>289.</t>
  </si>
  <si>
    <t>Smar silikonowy do wysokiej próżni</t>
  </si>
  <si>
    <t>Poch 786830534</t>
  </si>
  <si>
    <t>Roztwór buforowy pH 4,00 +/- 0,05 op. 100 cm3</t>
  </si>
  <si>
    <t>290.</t>
  </si>
  <si>
    <t>Skrobia rozpuszczalna</t>
  </si>
  <si>
    <t>Chempur 117898206</t>
  </si>
  <si>
    <t>Roztwór buforowy pH 5,00 +/- 0,05 op. 100 cm3</t>
  </si>
  <si>
    <t>291.</t>
  </si>
  <si>
    <t>Sodu azotan</t>
  </si>
  <si>
    <t>Chempur 117926601</t>
  </si>
  <si>
    <t>292.</t>
  </si>
  <si>
    <t>Sodu azotyn</t>
  </si>
  <si>
    <t>Poch 792690115</t>
  </si>
  <si>
    <t>Roztwór buforowy pH 7,00 +/- 0,05 op. 100 cm3</t>
  </si>
  <si>
    <t>293.</t>
  </si>
  <si>
    <t>Sodu benzoesan</t>
  </si>
  <si>
    <t>Poch 793210117</t>
  </si>
  <si>
    <t>Roztwór buforowy pH 8,00 +/- 0,05 op. 100 cm3</t>
  </si>
  <si>
    <t>294.</t>
  </si>
  <si>
    <t>Odważka analityczna sodu chlorek 0,1 mol/l (0,1 N)</t>
  </si>
  <si>
    <t>Poch 794142165</t>
  </si>
  <si>
    <t>Roztwór buforowy pH 9,00 +/- 0,05 op. 100 cm3</t>
  </si>
  <si>
    <t>295.</t>
  </si>
  <si>
    <t>Sodu chlorek</t>
  </si>
  <si>
    <t>Poch 794121116</t>
  </si>
  <si>
    <t>7,52-basic</t>
  </si>
  <si>
    <t>Roztwór buforowy pH 10,00 +/- 0,05 op. 100 cm3</t>
  </si>
  <si>
    <t>296.</t>
  </si>
  <si>
    <t>tri-Sodu cytrynian 2.hydrat</t>
  </si>
  <si>
    <t>Poch 795780112</t>
  </si>
  <si>
    <t>297.</t>
  </si>
  <si>
    <t>di-Sodu tetraboran 10.hydrat</t>
  </si>
  <si>
    <t>Chempur 117960802</t>
  </si>
  <si>
    <t>298.</t>
  </si>
  <si>
    <t>Sodu dichromian 2.hydrat</t>
  </si>
  <si>
    <t>Chempur 117970403</t>
  </si>
  <si>
    <t>Sacharoza CZDA op. 1 kg</t>
  </si>
  <si>
    <t>299.</t>
  </si>
  <si>
    <t>Sodu diwodorofosforan 1.hydrat</t>
  </si>
  <si>
    <t>Poch 799180111</t>
  </si>
  <si>
    <t>300.</t>
  </si>
  <si>
    <t>Sodu diwodorofosforan 2.hydrat</t>
  </si>
  <si>
    <t>Poch 799190116</t>
  </si>
  <si>
    <t>42,57 - zwykła cena zakupu</t>
  </si>
  <si>
    <t>301.</t>
  </si>
  <si>
    <t>di-Sodu wodorofosforan 12.hydrat</t>
  </si>
  <si>
    <t>Poch 799280115</t>
  </si>
  <si>
    <t>Siarka CZDA SUBLIMOWANA op. 500 g</t>
  </si>
  <si>
    <t>302.</t>
  </si>
  <si>
    <t xml:space="preserve">Sodu jodek czda </t>
  </si>
  <si>
    <t>Chempur 118013500</t>
  </si>
  <si>
    <t>303.</t>
  </si>
  <si>
    <t>Sodu molibdenian 2.hydrat</t>
  </si>
  <si>
    <t>Chempur 118033700</t>
  </si>
  <si>
    <t>Smar silikonowy DO CELÓW LABORATORYJNYCH op. 50 g</t>
  </si>
  <si>
    <t>304.</t>
  </si>
  <si>
    <t>Sodu octan bezwodny</t>
  </si>
  <si>
    <t>Chempur 118056403</t>
  </si>
  <si>
    <t>Smar silikonowy do wysokiej próżni op. 50 g</t>
  </si>
  <si>
    <t>305.</t>
  </si>
  <si>
    <t>Sodu octan 3.hydrat</t>
  </si>
  <si>
    <t>Poch 805670119</t>
  </si>
  <si>
    <t>306.</t>
  </si>
  <si>
    <t>Sodu pirosiarczyn</t>
  </si>
  <si>
    <t>Poch 806650112</t>
  </si>
  <si>
    <t>307.</t>
  </si>
  <si>
    <t>Sodu siarczan bezwodny</t>
  </si>
  <si>
    <t>Chempur 118078707</t>
  </si>
  <si>
    <t>Sodu azotyn CZDA op. 500 g</t>
  </si>
  <si>
    <t>308.</t>
  </si>
  <si>
    <t>Sodu siarczan 10.hydrat</t>
  </si>
  <si>
    <t>Chempur 118078708</t>
  </si>
  <si>
    <t>Sodu benzoesan CZDA op. 500 g</t>
  </si>
  <si>
    <t>309.</t>
  </si>
  <si>
    <t>Sodu wodorosiarczan 1.hydrat</t>
  </si>
  <si>
    <t>CHEMPUR 118079606</t>
  </si>
  <si>
    <t>310.</t>
  </si>
  <si>
    <t>Sodu siarczyn bezwodny</t>
  </si>
  <si>
    <t>Chempur 118081006</t>
  </si>
  <si>
    <t>Sodu chlorek CZDA op. 1 kg</t>
  </si>
  <si>
    <t>311.</t>
  </si>
  <si>
    <t>Sodu wodorosiarczyn r-r 40%</t>
  </si>
  <si>
    <t>Poch 808165428</t>
  </si>
  <si>
    <t>tri-Sodu cytrynian 2 . hydrat CZDA, ACS op. 1 kg</t>
  </si>
  <si>
    <t>312.</t>
  </si>
  <si>
    <t>Sodu heksametafosforan</t>
  </si>
  <si>
    <t>Chempur 428026703</t>
  </si>
  <si>
    <t>313.</t>
  </si>
  <si>
    <t>Sodu tiosiarczan 5.hydrat</t>
  </si>
  <si>
    <t>Poch 809580111</t>
  </si>
  <si>
    <t>34,91 - normalna cena zakupu</t>
  </si>
  <si>
    <t>314.</t>
  </si>
  <si>
    <t xml:space="preserve">Odważka analityczna sodu tiosiarczan 0,01 mol/l </t>
  </si>
  <si>
    <t>Poch 809603166</t>
  </si>
  <si>
    <t>Sodu diwodorofosforan 1 . hydrat CZDA, ODCZ. FP op. 1 kg</t>
  </si>
  <si>
    <t>315.</t>
  </si>
  <si>
    <t>Sodu wodorowęglan</t>
  </si>
  <si>
    <t>Poch 810530115</t>
  </si>
  <si>
    <t>Sodu diwodorofosforan 2 . hydrat CZDA op. 1 kg</t>
  </si>
  <si>
    <t>316.</t>
  </si>
  <si>
    <t>Sodu węglan bezwodny</t>
  </si>
  <si>
    <t>Chempur 118105602</t>
  </si>
  <si>
    <t>317.</t>
  </si>
  <si>
    <t>Sodu węglan 10.hydrat</t>
  </si>
  <si>
    <t>Chempur 118105603</t>
  </si>
  <si>
    <t>318.</t>
  </si>
  <si>
    <t>Odważka analityczna sodu węglan 0,05 mol/l (0,1 N)</t>
  </si>
  <si>
    <t>Poch 810591163</t>
  </si>
  <si>
    <t>di-Sodu wodorofosforan 12 . hydrat CZDA op. 500 g</t>
  </si>
  <si>
    <t>319.</t>
  </si>
  <si>
    <t>Sodu wodorotlenek MIKROGRANULKI</t>
  </si>
  <si>
    <t>Poch 810981118</t>
  </si>
  <si>
    <t>8,18-basic</t>
  </si>
  <si>
    <t>di-Sodu wodorofosforan 12 . hydrat CZDA op. 1 kg</t>
  </si>
  <si>
    <t>320.</t>
  </si>
  <si>
    <t>Sodu wodorotlenek TECHN</t>
  </si>
  <si>
    <t>25 kg</t>
  </si>
  <si>
    <t>techn</t>
  </si>
  <si>
    <t>Standard</t>
  </si>
  <si>
    <t>cena orientacyjna</t>
  </si>
  <si>
    <t>standar</t>
  </si>
  <si>
    <t>strzelam</t>
  </si>
  <si>
    <t>321.</t>
  </si>
  <si>
    <t>sodu wodorotlenek</t>
  </si>
  <si>
    <t>5 kg</t>
  </si>
  <si>
    <t>Chempur 428109251</t>
  </si>
  <si>
    <t>322.</t>
  </si>
  <si>
    <t>Odważka analityczna sodu wodorotlenek 0,1 mol/l (0,1 N)</t>
  </si>
  <si>
    <t>Poch 810938165</t>
  </si>
  <si>
    <t>323.</t>
  </si>
  <si>
    <t>Odważka analityczna sodu wodorotlenek 1 mol/l (1 N)</t>
  </si>
  <si>
    <t>Poch  810923166</t>
  </si>
  <si>
    <t>324.</t>
  </si>
  <si>
    <t>Sodu wodorotlenek 0,25 mol/l (0,25 N) r-r mianowany</t>
  </si>
  <si>
    <t>Poch 810992165</t>
  </si>
  <si>
    <t>325.</t>
  </si>
  <si>
    <t>Sodu wodorotlenek 3%</t>
  </si>
  <si>
    <t>Chempur 528109231</t>
  </si>
  <si>
    <t>326.</t>
  </si>
  <si>
    <t>Sodu wolframian 2.hydrat</t>
  </si>
  <si>
    <t>Poch 811020115</t>
  </si>
  <si>
    <t>327.</t>
  </si>
  <si>
    <t>Sód, roztwór wzorcowy do ICP w odniesieniu do SRM z NIST NaNO3 w HNO3 2-3% 1000 mg/l Na CertiPUR</t>
  </si>
  <si>
    <t>Merck 170353</t>
  </si>
  <si>
    <t>328.</t>
  </si>
  <si>
    <t>Sól próżniowa w tabletkach</t>
  </si>
  <si>
    <t>chemia</t>
  </si>
  <si>
    <t>329.</t>
  </si>
  <si>
    <t>Spirytus rektyfikowany</t>
  </si>
  <si>
    <t>Selgros</t>
  </si>
  <si>
    <t>selgros</t>
  </si>
  <si>
    <t>330.</t>
  </si>
  <si>
    <t>Srebra azotan</t>
  </si>
  <si>
    <t>Poch 814322777</t>
  </si>
  <si>
    <t>realizujemy Stanlab</t>
  </si>
  <si>
    <t>450 - Stanlab</t>
  </si>
  <si>
    <t>Sodu wodorosiarczyn r-r 40% CZ op. 1 dm3</t>
  </si>
  <si>
    <t>331.</t>
  </si>
  <si>
    <t>190 -Stanlab</t>
  </si>
  <si>
    <t>Sodu heksametafosforan CZ ***dostępny do wyczerpania zapasu*** op. 1 kg</t>
  </si>
  <si>
    <t>332.</t>
  </si>
  <si>
    <t>90 -Stanlab</t>
  </si>
  <si>
    <t>Sodu tiosiarczan 5 . hydrat CZDA, ACS op. 1 kg</t>
  </si>
  <si>
    <t>333.</t>
  </si>
  <si>
    <t>Odważka analityczna srebra azotan 0,1 mol/l (0,1N)</t>
  </si>
  <si>
    <t>Poch 814342162</t>
  </si>
  <si>
    <t>TitraFix(TM) Plus NIST standard odważka analityczna sodu tiosiarczan 0,01 mol/l op. 1 szt</t>
  </si>
  <si>
    <t>334.</t>
  </si>
  <si>
    <t>Srebra siarczan</t>
  </si>
  <si>
    <t>Poch 815962770</t>
  </si>
  <si>
    <t>Sodu wodorowęglan CZDA op. 1 kg</t>
  </si>
  <si>
    <t>335.</t>
  </si>
  <si>
    <t>210 - Stanlab</t>
  </si>
  <si>
    <t>336.</t>
  </si>
  <si>
    <t>Srebra tlenek</t>
  </si>
  <si>
    <t xml:space="preserve">100g </t>
  </si>
  <si>
    <t>Poch 816052775</t>
  </si>
  <si>
    <t xml:space="preserve">Stanlab na UMCS 350, </t>
  </si>
  <si>
    <t>337.</t>
  </si>
  <si>
    <t>Stop Dewarda proszek</t>
  </si>
  <si>
    <t>Poch 818097114</t>
  </si>
  <si>
    <t>TitraFix(TM) Plus NIST standard odważka analityczna sodu węglan 0,05 mol/l op. 1 szt</t>
  </si>
  <si>
    <t>338.</t>
  </si>
  <si>
    <t>Stop Dewarda (opiłki)</t>
  </si>
  <si>
    <t>Sigma-Aldrich 269484</t>
  </si>
  <si>
    <t>Avantor - kosmicznie kosztuje- patrz obok, chyba że chcesz zostawić, zmniejszyłem ilość</t>
  </si>
  <si>
    <t>269484-100G - 249,30</t>
  </si>
  <si>
    <t>Sodu wodorotlenek mikrogranulki CZDA op. 1 kg</t>
  </si>
  <si>
    <t>339.</t>
  </si>
  <si>
    <t>Streptomcin krążki</t>
  </si>
  <si>
    <t>BTL A1925</t>
  </si>
  <si>
    <t>340.</t>
  </si>
  <si>
    <t>Test Azot azotynowy 0,002-0,300 mg/l, 100 szt.</t>
  </si>
  <si>
    <t>1op</t>
  </si>
  <si>
    <t>-----</t>
  </si>
  <si>
    <t>HC-2107169</t>
  </si>
  <si>
    <t>cena z rabatem 7%</t>
  </si>
  <si>
    <t>341.</t>
  </si>
  <si>
    <t>Test Azot azotanowy HR,MR 0,3-30,0 mg/l, 100 szt.</t>
  </si>
  <si>
    <t>HC-2106169</t>
  </si>
  <si>
    <t>342.</t>
  </si>
  <si>
    <t>Test Fosforany 0,02-2,50 mg/l, 100 szt.</t>
  </si>
  <si>
    <t>HC-2106069</t>
  </si>
  <si>
    <t>343.</t>
  </si>
  <si>
    <t>ORANŻ METYLOWY (100 SZTUK-PODUSZKI)</t>
  </si>
  <si>
    <t>HC-94399</t>
  </si>
  <si>
    <t>344.</t>
  </si>
  <si>
    <t>TCA</t>
  </si>
  <si>
    <t>BTL 8789.2</t>
  </si>
  <si>
    <t>linegal</t>
  </si>
  <si>
    <t>TitraFix(TM) Plus NIST standard odważka analityczna sodu wodorotlenek 0,1 mol/l op. 1 szt</t>
  </si>
  <si>
    <t>345.</t>
  </si>
  <si>
    <t>Tiomocznik czda (K)</t>
  </si>
  <si>
    <t>Poch 834570118</t>
  </si>
  <si>
    <t>realizujemy Chempur</t>
  </si>
  <si>
    <t>TitraFix(TM) Plus NIST standard odważka analityczna sodu wodorotlenek 1 mol/l op. 1 szt</t>
  </si>
  <si>
    <t>346.</t>
  </si>
  <si>
    <t>Toluen</t>
  </si>
  <si>
    <t>Poch 837040114</t>
  </si>
  <si>
    <t>9,96-basic</t>
  </si>
  <si>
    <t>Sodu wodorotlenek 0,25 mol/l (0,25 N) r-r mianowany op. 5 dm3</t>
  </si>
  <si>
    <t>347.</t>
  </si>
  <si>
    <t>POCH 837040153</t>
  </si>
  <si>
    <t>348.</t>
  </si>
  <si>
    <t>Trietanoloamina</t>
  </si>
  <si>
    <t>Poch 848430119</t>
  </si>
  <si>
    <t>349.</t>
  </si>
  <si>
    <t>Tris Buffer grade</t>
  </si>
  <si>
    <t>Applichem A1379</t>
  </si>
  <si>
    <t>Krakchemia</t>
  </si>
  <si>
    <t>Sodu wolframian 2 . hydrat CZDA, ODCZ. FP op. 500 g</t>
  </si>
  <si>
    <t>350.</t>
  </si>
  <si>
    <t>Trilux</t>
  </si>
  <si>
    <t>Analab</t>
  </si>
  <si>
    <t>analab</t>
  </si>
  <si>
    <t>351.</t>
  </si>
  <si>
    <t>Wapnia azotan 4.hydrat</t>
  </si>
  <si>
    <t>Chempur 118745700</t>
  </si>
  <si>
    <t>wstawiłem chempura</t>
  </si>
  <si>
    <t>352.</t>
  </si>
  <si>
    <t>Wapnia chlorek bezwodny</t>
  </si>
  <si>
    <t>Poch 874870116</t>
  </si>
  <si>
    <t>zmniejszyłem ilość - mniej kupili, ale i cena jest niekorzystna dla nas</t>
  </si>
  <si>
    <t>Etylowy alkohol 96% CZ op. 500 cm3</t>
  </si>
  <si>
    <t>353.</t>
  </si>
  <si>
    <t>Wapnia chlorek bezwodny do eksykatorów</t>
  </si>
  <si>
    <t>Chempur 468748908</t>
  </si>
  <si>
    <t>Srebra azotan CZDA op. 250 g</t>
  </si>
  <si>
    <t>354.</t>
  </si>
  <si>
    <t>Wapnia chlorek 6.hydrat</t>
  </si>
  <si>
    <t>Poch 875010112</t>
  </si>
  <si>
    <t>Srebra azotan CZDA op. 100 g</t>
  </si>
  <si>
    <t>355.</t>
  </si>
  <si>
    <t>Chempur 428748702</t>
  </si>
  <si>
    <t>356.</t>
  </si>
  <si>
    <t>Wapnia fluorokrzemian</t>
  </si>
  <si>
    <t>MP Biomedicals 05220665</t>
  </si>
  <si>
    <t>2015r</t>
  </si>
  <si>
    <t>50% poniżej ceny zakupu</t>
  </si>
  <si>
    <t>Srebra azotan CZDA op. 50 g</t>
  </si>
  <si>
    <t>357.</t>
  </si>
  <si>
    <t>Wapnia wodorofosforan 2.hydrat</t>
  </si>
  <si>
    <t>Poch 875880113</t>
  </si>
  <si>
    <t>TitraFix(TM) Plus NIST standard odważka analityczna srebra azotan 0,1 mol/l op. 1 szt</t>
  </si>
  <si>
    <t>358.</t>
  </si>
  <si>
    <t>Wapnia mleczan 5.hydrat</t>
  </si>
  <si>
    <t>Poch 877050116</t>
  </si>
  <si>
    <t>Srebra siarczan CZDA op. 250 g</t>
  </si>
  <si>
    <t>359.</t>
  </si>
  <si>
    <t>Wapnia octan 1.hydrat</t>
  </si>
  <si>
    <t>Chempur 118773907</t>
  </si>
  <si>
    <t>Srebra siarczan CZDA op. 100 g</t>
  </si>
  <si>
    <t>360.</t>
  </si>
  <si>
    <t>Wapnia tlenek</t>
  </si>
  <si>
    <t>Poch 878210118</t>
  </si>
  <si>
    <t>Stop Dewardy CZDA (proszek) op. 50 g</t>
  </si>
  <si>
    <t>361.</t>
  </si>
  <si>
    <t>Wapń, roztwór wzorcowy do ICP w odniesieniu do SRM z NIST Ca(NO3)2 w HNO3 2-3% 1000 mg/l Ca CertiPUR</t>
  </si>
  <si>
    <t>Merck 170308</t>
  </si>
  <si>
    <t>Stop Dewardy CZDA (opiłki) op. 100 g</t>
  </si>
  <si>
    <t>362.</t>
  </si>
  <si>
    <t>di-Sodu wersenian 2.hydrat</t>
  </si>
  <si>
    <t>Poch 879810112</t>
  </si>
  <si>
    <t>363.</t>
  </si>
  <si>
    <t>Odważka analityczna di-sodu wersenian 0,05 mol/l</t>
  </si>
  <si>
    <t>Poch 879865165</t>
  </si>
  <si>
    <t>364.</t>
  </si>
  <si>
    <t>Węgiel aktywny czda Norit°SX 2</t>
  </si>
  <si>
    <t>Poch 880250461</t>
  </si>
  <si>
    <t>365.</t>
  </si>
  <si>
    <t>Woda destylowana DEMI 5L</t>
  </si>
  <si>
    <t>5L</t>
  </si>
  <si>
    <t>Chempur 524912004</t>
  </si>
  <si>
    <t>Toluen CZDA, ODCZ. FP op. 1 dm3</t>
  </si>
  <si>
    <t>366.</t>
  </si>
  <si>
    <t>Woda DO GC DO ANALIZY POZOSTAŁOŚCI PESTYCYDÓW</t>
  </si>
  <si>
    <t>Poch  885060195</t>
  </si>
  <si>
    <t>Trietanoloamina CZDA, ODCZ. FP op. 500 cm3</t>
  </si>
  <si>
    <t>367.</t>
  </si>
  <si>
    <t>Woda do HPLC</t>
  </si>
  <si>
    <t>Poch 885060156</t>
  </si>
  <si>
    <t>368.</t>
  </si>
  <si>
    <t>Wapnia azotan 4 . hydrat CZDA op. 1 kg</t>
  </si>
  <si>
    <t>369.</t>
  </si>
  <si>
    <t>Woda specjalnej czystości</t>
  </si>
  <si>
    <t>Romil SS02M</t>
  </si>
  <si>
    <t>dopisany</t>
  </si>
  <si>
    <t>Wapnia chlorek bezwodny CZDA, ODCZ. FP op. 1 kg</t>
  </si>
  <si>
    <t>370.</t>
  </si>
  <si>
    <t>Wodoru nadtlenek ok. 30%</t>
  </si>
  <si>
    <t>Poch 885193111</t>
  </si>
  <si>
    <t>371.</t>
  </si>
  <si>
    <t>Chempur 118851934</t>
  </si>
  <si>
    <t>Wapnia chlorek 6 . hydrat CZDA op. 1 kg</t>
  </si>
  <si>
    <t>372.</t>
  </si>
  <si>
    <t>Wskaźnik Tashiro</t>
  </si>
  <si>
    <t>Chempur 298871707</t>
  </si>
  <si>
    <t>373.</t>
  </si>
  <si>
    <t>Zieleń bromokrezolowa</t>
  </si>
  <si>
    <t>Chempur 218988104</t>
  </si>
  <si>
    <t>374.</t>
  </si>
  <si>
    <t>Żelaza (II) chlorek 4.hydrat</t>
  </si>
  <si>
    <t>Poch 902480119</t>
  </si>
  <si>
    <t>375.</t>
  </si>
  <si>
    <t>Żelaza (II) siarczan 7.hydrat</t>
  </si>
  <si>
    <t>Chempur 119028407</t>
  </si>
  <si>
    <t>Wapnia mleczan 5 . hydrat CZDA op. 1 kg</t>
  </si>
  <si>
    <t>376.</t>
  </si>
  <si>
    <t>Żelaza (III) azotan 9.hydrat</t>
  </si>
  <si>
    <t>Poch 904070115</t>
  </si>
  <si>
    <t>377.</t>
  </si>
  <si>
    <t>Żelaza (III) chlorek 6.hydrat</t>
  </si>
  <si>
    <t>Poch 904180113</t>
  </si>
  <si>
    <t>Wapnia tlenek CZDA op. 500 g</t>
  </si>
  <si>
    <t>378.</t>
  </si>
  <si>
    <t>Żelaza (III) siarczan hydrat</t>
  </si>
  <si>
    <t>Poch 904880119</t>
  </si>
  <si>
    <t>379.</t>
  </si>
  <si>
    <t>Żelatyna proszek</t>
  </si>
  <si>
    <t>Poch 901946119</t>
  </si>
  <si>
    <t>380.</t>
  </si>
  <si>
    <t>Agar bakteriologiczny</t>
  </si>
  <si>
    <t>BIOCORP AB 03</t>
  </si>
  <si>
    <t>Biocorp</t>
  </si>
  <si>
    <t>oferta</t>
  </si>
  <si>
    <t>wartść 2015</t>
  </si>
  <si>
    <t>w tym</t>
  </si>
  <si>
    <t>wtawki</t>
  </si>
  <si>
    <t>cena katalogowa Romil</t>
  </si>
  <si>
    <t>di-Sodu wersenian 2 . hydrat (Disodu edetynian) CZDA op. 500 g</t>
  </si>
  <si>
    <t>381.</t>
  </si>
  <si>
    <t>Bacteriological Peptone</t>
  </si>
  <si>
    <t>BIOCORP PB 01</t>
  </si>
  <si>
    <t>Węgiel aktywny Norit(R) SX 2 CZDA, ODCZ. FP op. 1 kg</t>
  </si>
  <si>
    <t>382.</t>
  </si>
  <si>
    <t>Bulion M17</t>
  </si>
  <si>
    <t>BIOCORP PS 108</t>
  </si>
  <si>
    <t>Woda DO GC DO ANALIZY POZOSTAŁOŚCI PESTYCYDÓW op. 1 dm3</t>
  </si>
  <si>
    <t>383.</t>
  </si>
  <si>
    <t>Bulion wzbogacony</t>
  </si>
  <si>
    <t>BIOCORP PS 110</t>
  </si>
  <si>
    <t>inne</t>
  </si>
  <si>
    <t>alkohol - 12800</t>
  </si>
  <si>
    <t>384.</t>
  </si>
  <si>
    <t>Ekstrakt drozdżowy</t>
  </si>
  <si>
    <t>BIOCORP PB 06</t>
  </si>
  <si>
    <t>385.</t>
  </si>
  <si>
    <t>Pepton sojowy</t>
  </si>
  <si>
    <t>BIOCORP PB 13</t>
  </si>
  <si>
    <t>Żelaza (II) chlorek 4 . hydrat CZDA, ODCZ. FP op. 250 g</t>
  </si>
  <si>
    <t>386.</t>
  </si>
  <si>
    <t>Podłoze Giolitti-Cantoni</t>
  </si>
  <si>
    <t>BTL PS-0028</t>
  </si>
  <si>
    <t>OFERTA NR 1458/16/4</t>
  </si>
  <si>
    <t>Żelaza (III) azotan 9 . hydrat CZDA op. 250 g</t>
  </si>
  <si>
    <t>387.</t>
  </si>
  <si>
    <t>Podłoze MRS-AGAR</t>
  </si>
  <si>
    <t>BIOCORP PS 59</t>
  </si>
  <si>
    <t>Żelaza (III) chlorek 6 . hydrat CZDA, ODCZ. FP op. 500 g</t>
  </si>
  <si>
    <t>388.</t>
  </si>
  <si>
    <t>Podłoze MRS BROTH</t>
  </si>
  <si>
    <t>BIOCORP PS 60</t>
  </si>
  <si>
    <t>Żelatyna - proszek CZDA op. 500 g</t>
  </si>
  <si>
    <t>389.</t>
  </si>
  <si>
    <t>Podłoze RCM</t>
  </si>
  <si>
    <t>OXOID CM0149</t>
  </si>
  <si>
    <t>5992/2016</t>
  </si>
  <si>
    <t>390.</t>
  </si>
  <si>
    <t>Mnnitol Salt Lab Agar</t>
  </si>
  <si>
    <t>BIOCORP PS 13</t>
  </si>
  <si>
    <t>391.</t>
  </si>
  <si>
    <t>Podłoże Endo</t>
  </si>
  <si>
    <t>BTL P-0005</t>
  </si>
  <si>
    <t>392.</t>
  </si>
  <si>
    <t>Potatao Dextrose Agar</t>
  </si>
  <si>
    <t>BIOCORP PS 107</t>
  </si>
  <si>
    <t>393.</t>
  </si>
  <si>
    <t>Chloramfenicol Lab Agar</t>
  </si>
  <si>
    <t>BIOCORP PS 106</t>
  </si>
  <si>
    <t>394.</t>
  </si>
  <si>
    <t>Podłoże z żółcia i zielenią brylantową</t>
  </si>
  <si>
    <t>BTL P-0036</t>
  </si>
  <si>
    <t>395.</t>
  </si>
  <si>
    <t>TSC Lab Agar</t>
  </si>
  <si>
    <t>BIOCORP PS 191</t>
  </si>
  <si>
    <t>396.</t>
  </si>
  <si>
    <t>Wątroba suszona kostki</t>
  </si>
  <si>
    <t>BTL D-086</t>
  </si>
  <si>
    <t>5*100g</t>
  </si>
  <si>
    <t>397.</t>
  </si>
  <si>
    <t>Schaedler Lab Agar</t>
  </si>
  <si>
    <t>BIOCORP PS18</t>
  </si>
  <si>
    <t>398.</t>
  </si>
  <si>
    <t>Podłoże Baird Parker</t>
  </si>
  <si>
    <t>BIOCORP PS 33</t>
  </si>
  <si>
    <t>399.</t>
  </si>
  <si>
    <t xml:space="preserve">Podłoże XLD </t>
  </si>
  <si>
    <t>BTL P-0115</t>
  </si>
  <si>
    <t>400.</t>
  </si>
  <si>
    <t>Podłoże BGA</t>
  </si>
  <si>
    <t>BTL P-0052</t>
  </si>
  <si>
    <t>401.</t>
  </si>
  <si>
    <t>Żółtko jaja kurzego - suplement do podłoza Baird Parkera</t>
  </si>
  <si>
    <t>BIOCORP SL036</t>
  </si>
  <si>
    <t>402.</t>
  </si>
  <si>
    <t>Podłoże z azydkiem sodu</t>
  </si>
  <si>
    <t>BTL P-0101</t>
  </si>
  <si>
    <t>403.</t>
  </si>
  <si>
    <t>Podłoże z purpura bromokrezolową</t>
  </si>
  <si>
    <t>BTL P-0083</t>
  </si>
  <si>
    <t>1) Łącznie wartość  netto(zsumowanie pozycji z kolumny nr 7)                                    346 217,79  PLN</t>
  </si>
  <si>
    <t xml:space="preserve">2) Łącznie  wartość   brutto (zsumowanie pozycji z kolumny nr 9)                               418 793,25  PLN </t>
  </si>
  <si>
    <t>Wartości z poz. 2  należy wpisać do formularza ofertowego załącznik nr 1</t>
  </si>
  <si>
    <r>
      <t>Poznań, dnia 17.11.2016</t>
    </r>
    <r>
      <rPr>
        <b/>
        <sz val="8"/>
        <color theme="1"/>
        <rFont val="Arial"/>
        <family val="2"/>
        <charset val="238"/>
      </rPr>
      <t xml:space="preserve">                                                                                          </t>
    </r>
  </si>
  <si>
    <t>DROBNY SPRZĘT LABORATORYJNY  -  Umowa Nr 26/DGZ/PN/2016   do dn. 05.12.2017.   ALFACHEM</t>
  </si>
  <si>
    <t>Kolumna nr 1</t>
  </si>
  <si>
    <t>kolumna nr 2</t>
  </si>
  <si>
    <t>kolumna nr 3</t>
  </si>
  <si>
    <t>Kolumna nr 4</t>
  </si>
  <si>
    <t>kolumna nr 5</t>
  </si>
  <si>
    <t>kolumna nr 6</t>
  </si>
  <si>
    <t>kolumna nr 7</t>
  </si>
  <si>
    <t>kolumna nr 8</t>
  </si>
  <si>
    <t>jednostka miary</t>
  </si>
  <si>
    <t>CENA NETTO</t>
  </si>
  <si>
    <t>Wykonawca dla każdej pozycji obowiązkowo wpisuje obowiązującą stawkę podatku VAT w % w kwocie PLN</t>
  </si>
  <si>
    <t>szt/op</t>
  </si>
  <si>
    <t>jednostkowa [PLN]</t>
  </si>
  <si>
    <t>Gruszka uniwersalna trójwymiarowa</t>
  </si>
  <si>
    <t> _____</t>
  </si>
  <si>
    <r>
      <t xml:space="preserve">Nasadka do pipet </t>
    </r>
    <r>
      <rPr>
        <sz val="10"/>
        <color rgb="FFFF0000"/>
        <rFont val="Times New Roman"/>
        <family val="1"/>
        <charset val="238"/>
      </rPr>
      <t>25 ml</t>
    </r>
  </si>
  <si>
    <t>25 ml</t>
  </si>
  <si>
    <t>Nasadka do pipet 5 ml</t>
  </si>
  <si>
    <t>5 ml</t>
  </si>
  <si>
    <t>Nasadka do pipet 10ml</t>
  </si>
  <si>
    <t>10ml</t>
  </si>
  <si>
    <t>Nakrętki GL 14 Z z uszczelkami do systemu MicroSystem nr kat. D292270508+DUR1129818</t>
  </si>
  <si>
    <t> _____ </t>
  </si>
  <si>
    <t>Strzykawka PP 2 ml op. 100 szt</t>
  </si>
  <si>
    <t xml:space="preserve">100 szt.  </t>
  </si>
  <si>
    <t>op</t>
  </si>
  <si>
    <t>Strzykawka PP 5 ml op. 100 szt</t>
  </si>
  <si>
    <t>100 szt.</t>
  </si>
  <si>
    <t>Strzykawka PP 10 ml op. 100 szt</t>
  </si>
  <si>
    <t>Strzykawka PP 20 ml op. 80 szt</t>
  </si>
  <si>
    <t>80 szt.</t>
  </si>
  <si>
    <t xml:space="preserve">Tryskawka Nalgene 250ml </t>
  </si>
  <si>
    <t>szt.</t>
  </si>
  <si>
    <t>Tryskawka Nalgene 500ml</t>
  </si>
  <si>
    <t>Igły do strzykawek 1,2 x40 mm op. 100 szt</t>
  </si>
  <si>
    <t>100 szt</t>
  </si>
  <si>
    <t>Igły do strzykawek 0,8x40  mm op. 100 szt</t>
  </si>
  <si>
    <t xml:space="preserve">Pipeta Pasteura 3 ml op. 500 szt </t>
  </si>
  <si>
    <t>500 szt.</t>
  </si>
  <si>
    <t>Pipeta Pasteura 150 mm op. 250 szt  szklane</t>
  </si>
  <si>
    <t xml:space="preserve">250 szt. </t>
  </si>
  <si>
    <t>Pipeta Pasteura 230 mm op.250 szt.  Szklane</t>
  </si>
  <si>
    <t>250 szt.</t>
  </si>
  <si>
    <t>Pipeta serologiczna 10 ml, sterylna , pak. po 200 szt., HTL41041</t>
  </si>
  <si>
    <t>200 szt.</t>
  </si>
  <si>
    <t>op.</t>
  </si>
  <si>
    <t>Pipeta serologiczna 5 ml, sterylna , pak. po 250 szt., HTL41031</t>
  </si>
  <si>
    <t>Pojemnik do moczu 125 op.500 szt PC121</t>
  </si>
  <si>
    <t>Pojemnik do moczu sterylne op. 200 szt PC124 pojedyńczo pakowane</t>
  </si>
  <si>
    <t>Statyw plastikowy na próbówki 0.2ml do PCR, 96-miejscowy, Nest Scientific Biotechnology 407001, 1szt</t>
  </si>
  <si>
    <t>  _____</t>
  </si>
  <si>
    <t>Sterylne probówki 0.2ml do PCR, szczelne zamkniecie (utrata w stopniu mniejszym niż 0.2%), Nest Scientific Biotechnology 401001, ednotoksyny: 0.1 EU, USP VI Grade, w worku 1000szt</t>
  </si>
  <si>
    <t>1000szt.</t>
  </si>
  <si>
    <t>Probówki typ EPP 0,2 ml op.1000szt.  Paskie wieczko GP304PDR</t>
  </si>
  <si>
    <t>1000 szt.</t>
  </si>
  <si>
    <t>Probówki  typ EPP 0,5 ml op. 1000  szt, 72.699</t>
  </si>
  <si>
    <t>Probówki typ EPP 1,5 ml op. 500 szt  72.690.001do wirówek ponad 15000obr./min</t>
  </si>
  <si>
    <t>Probówki  typ EPP 2 ml op. 250szt  72.695.500 do wirówek ponad 15000obr./min</t>
  </si>
  <si>
    <t xml:space="preserve">Safe lock tubes 1,5 ml PCR clean EPP0123328 </t>
  </si>
  <si>
    <t>1000szt</t>
  </si>
  <si>
    <t>Probówka CryoPure 2 ml, z gwintem zew., op. 50 szt. 72.379</t>
  </si>
  <si>
    <t xml:space="preserve">50 szt. </t>
  </si>
  <si>
    <t>Probówki stozkowe typu Falcon PP 10 ml z nakrętką op. 100szt, 62.9924.283</t>
  </si>
  <si>
    <t>Probówki stozkowe typu Falcon PP 15 ml z nakrętką op. 50szt</t>
  </si>
  <si>
    <t>50 szt.</t>
  </si>
  <si>
    <t>Probówki stozkowe typu Falcon PP 50 ml z nakrętką op. 50szt</t>
  </si>
  <si>
    <t>Probówki Falkon 15 ml, sterylne ze statywem styropianowym, op. 50 szt, 62.554.002</t>
  </si>
  <si>
    <t>Probówki Falkon 50 ml, sterylne ze statywem styropianowym, op. 25 szt, 62.547.004</t>
  </si>
  <si>
    <t>25 szt.</t>
  </si>
  <si>
    <t>Probówki szklane z nakrętką 16x100   /100szt./</t>
  </si>
  <si>
    <t>100szt./</t>
  </si>
  <si>
    <t>Probówki szklane z nakrętką 16x160   /100szt./</t>
  </si>
  <si>
    <t>Kamera Thoma</t>
  </si>
  <si>
    <t>Płytki titracyjne U op. 50 szt</t>
  </si>
  <si>
    <t>Płytki titracyjne z dnem płaskim  op. 50 szt</t>
  </si>
  <si>
    <t>50 szt</t>
  </si>
  <si>
    <t>Pokrywki do płytek titracyjnych op. 50 szt</t>
  </si>
  <si>
    <t>Pisak laboratoryjny wodoodporny Sharpie</t>
  </si>
  <si>
    <t>Kuweta 2,5 micro op. 100 szt PS</t>
  </si>
  <si>
    <t>Kuweta 4,5 micro op. 100 szt PS</t>
  </si>
  <si>
    <t>Kuweta spektrofotometryczna szkło optyczne 11-G-4</t>
  </si>
  <si>
    <t>Kuweta spektrofotometryczna szkło kwarcowe 11-Q-4</t>
  </si>
  <si>
    <t>Kuweta spektrofotometryczna szkło kwarcowe 11-Q-8</t>
  </si>
  <si>
    <t>Nakrętka GL 45 z dwoma otworami do systemu filtracyjnego MicroSystem nr kat. DUR1129750, op. 2 szt.</t>
  </si>
  <si>
    <t>Statyw styropianowy do 100 prob</t>
  </si>
  <si>
    <t>Elektroda zespolona ERH-11</t>
  </si>
  <si>
    <t>Elektroda kombinowana ERH-111</t>
  </si>
  <si>
    <t>Elektroda EPS-1</t>
  </si>
  <si>
    <t>Sterylny nożyk hemato op. 200 szt</t>
  </si>
  <si>
    <t>200 szt</t>
  </si>
  <si>
    <t>Ostrza do skalpeli typy 23  /100szt./</t>
  </si>
  <si>
    <t xml:space="preserve">Dozownik butelkowy z zaworem spustowym 1-10ml </t>
  </si>
  <si>
    <t xml:space="preserve">Dozownik butelkowy z zaworem spustowym  5-50ml  </t>
  </si>
  <si>
    <t xml:space="preserve">Dozownik butelkowy z zaworem powrotnym 10-100ml </t>
  </si>
  <si>
    <t>Dozownik butelkowy Genius 0,5- 5ml , nastaw 0,1 ml</t>
  </si>
  <si>
    <t>Dozownik butelkowy Genius 2,5- 25ml , nastaw 0,5 ml</t>
  </si>
  <si>
    <t>Dozownik butelkowy Genius 5- 50ml , nastaw 1,0 ml</t>
  </si>
  <si>
    <t>Biureta cyfrowa przepływowa 0-25ml</t>
  </si>
  <si>
    <t xml:space="preserve">Biurety elektroniczne  Solarus 50 ml </t>
  </si>
  <si>
    <t>Biureta Schillinga 5 ml, butla PE 500 ml</t>
  </si>
  <si>
    <t>Pudełko Cryo na 100 probówek 2ml ( 17.231.200 )</t>
  </si>
  <si>
    <t>Przybornik laboratoryjny 8-częściowy/nożyczki,szpatułki,pincety,itd</t>
  </si>
  <si>
    <t>Pinceta metalowa o tępych końcach 250 mm</t>
  </si>
  <si>
    <t>Pinceta metalowa o tępych końcach dł. 200,18/10 Stal- Bochem 1005</t>
  </si>
  <si>
    <t>Pinceta metalowa odgięta 165mm</t>
  </si>
  <si>
    <t>Pinceta metalowa dł.140mm</t>
  </si>
  <si>
    <t>Pinceta metalowa o ostrych końcach typ. 1 zakrzywione 18/10 Stal dł. 160 mm , Bochem 1023</t>
  </si>
  <si>
    <t>Łyżka typu POLY , 210 mm typ 1, 35x15 , Bochem 3402</t>
  </si>
  <si>
    <t>Łyżeczko-szpatułka dł. 180 mm 18/10 Stal , 40x29, ochem 3472</t>
  </si>
  <si>
    <t>Łyżeczko-szpatułka dł.210mm</t>
  </si>
  <si>
    <t>Łyżeczka dwustronna dł.210mm</t>
  </si>
  <si>
    <t>Szpatułka  dwustronna 180mm</t>
  </si>
  <si>
    <t>Nożyczki laboratoryjne typ 2, 160/55 mm, Bochem</t>
  </si>
  <si>
    <t xml:space="preserve">Podstawa statywu laboratoryjnego z prętem 750mm </t>
  </si>
  <si>
    <t>kpl</t>
  </si>
  <si>
    <t xml:space="preserve">Łącznik elementów statywu </t>
  </si>
  <si>
    <t xml:space="preserve">Łapa uniwersalna </t>
  </si>
  <si>
    <t>Łapa do biuret typu C, podwójna</t>
  </si>
  <si>
    <t>Podnosnik laboratoryjny 200x200 aluminium</t>
  </si>
  <si>
    <t>Oprawka do ez i igieł</t>
  </si>
  <si>
    <t>Ezy jednorazowego użytku PS 1 ul sterylne op. 20 szt</t>
  </si>
  <si>
    <t>Ezy jednorazowego użytku PS 10 ul sterylne 20 szt.</t>
  </si>
  <si>
    <t>Element magnetyczny POLYGON PTFE 8x25</t>
  </si>
  <si>
    <t>Element magnetyczny Polygon PTFE  8x40</t>
  </si>
  <si>
    <t>Pręt do wyjmowania elementów magnetycznych 250mm</t>
  </si>
  <si>
    <t>Statyw trzypółkowy rozkładany  fi20  20miejscowy Autoklawowalny</t>
  </si>
  <si>
    <t>Statyw trzypółkowy rozkładany  fi18  12 miejscow. Autoklawowalny</t>
  </si>
  <si>
    <t>Statyw do probówek plast. skład. Fi 13 na 96 prob.</t>
  </si>
  <si>
    <t>Statyw składany  EPP na 100 szt</t>
  </si>
  <si>
    <t>Statyw 40 miejscowy fi 20mm jednoczęściowy PP autoklawowalny</t>
  </si>
  <si>
    <t>Statyw autoklawowalny ze stali nierdzewnej na probówki fi 13mm  50 miejscowy</t>
  </si>
  <si>
    <t>Statyw autoklawowalny ze stali nierdzewnej na probówki fi 21mm 24 miejscowy</t>
  </si>
  <si>
    <t>Statyw autoklawowalny ze stali nierdzewnej na probówki fi 21mm 50 miejscowy</t>
  </si>
  <si>
    <t>Pudełko na 100 preparatów plastikowe</t>
  </si>
  <si>
    <t>Pudłko plastikowe na 100 preparatów wykładzina korkowa</t>
  </si>
  <si>
    <t>Stoper-timer elektroniczny</t>
  </si>
  <si>
    <t>siatka z krążkiem ceramicznym, 200x200 mm</t>
  </si>
  <si>
    <t>Płytki Petriego PS sterylne 90 op. 400 szt</t>
  </si>
  <si>
    <t>400 szt.</t>
  </si>
  <si>
    <t>Płytki Petriego PS sterylne 55 op.1005 szt, sterylizowane radiacyjnie</t>
  </si>
  <si>
    <t>1005 szt</t>
  </si>
  <si>
    <t>Płytki Petriego PS sterylne 90 mm H=16mm op. 600 szt, sterylizowana radiacyjnie</t>
  </si>
  <si>
    <t>600 szt.</t>
  </si>
  <si>
    <t xml:space="preserve">Torba do sterylizacji 21 l op 500szt. </t>
  </si>
  <si>
    <t>500szt.</t>
  </si>
  <si>
    <t xml:space="preserve">Torba do sterylizacji 33 l op 500szt. </t>
  </si>
  <si>
    <t xml:space="preserve">Wąż z miękkiej gumy 7/5mm </t>
  </si>
  <si>
    <t>mb</t>
  </si>
  <si>
    <t>Wąż lateksowy 9/6mm</t>
  </si>
  <si>
    <t>Ukośne podłączenie do próżni nr kat. D292470504</t>
  </si>
  <si>
    <t xml:space="preserve">Okulary ochronne  </t>
  </si>
  <si>
    <t>Rękawice lateksowe pudrowane op. 100 szt</t>
  </si>
  <si>
    <t>Rękawice lateksowe bezpudrowe op. 100 szt</t>
  </si>
  <si>
    <t>Rękawice winylowe pudrowane op. 100 szt.</t>
  </si>
  <si>
    <t>Rękawice winylowe bezpudroweop. 100 szt.</t>
  </si>
  <si>
    <t>Rękawice nitrylowe bezpudrowe op. 100 szt</t>
  </si>
  <si>
    <t>Rękawice nitrylowe bezpudrowe op. 200 szt</t>
  </si>
  <si>
    <t>Rękawice Sempermed latex bezpudrowy, op. 100 szt.</t>
  </si>
  <si>
    <t>Rękawice Sempermed latex pudrowany, op. 100 szt.</t>
  </si>
  <si>
    <t>Rękawice Sempermed nitrylowe bezpudrowy, op. 200 szt.</t>
  </si>
  <si>
    <t>Rękawice kriogeniczne HONEYWELL CRYOGENIC, -170*C</t>
  </si>
  <si>
    <t>korek uniwersalny fi 12 1000 szt</t>
  </si>
  <si>
    <t>korek uniwersalny fi 16 1000 szt</t>
  </si>
  <si>
    <t>Korek neoprenowy niebieski nr 8 z otworem i rurką szklaną w kształcie litery "L"</t>
  </si>
  <si>
    <t>Folia aluminiowa 450 mm, 10 m</t>
  </si>
  <si>
    <t>Folia 150 mb 0,03 ok..230m</t>
  </si>
  <si>
    <t>Fartuch laboratoryjny damski- kołnierzyk, nr kat. 27552</t>
  </si>
  <si>
    <t>Fartuch laboratoryjny męski- kołnierzyk,</t>
  </si>
  <si>
    <t>Płaszcz grzewczy z regulacją mocy , poj. 1000 ml</t>
  </si>
  <si>
    <t>Płaszcz grzewczy z regulacją mocy , poj. 500 ml</t>
  </si>
  <si>
    <t>Ręczniki papierowe- rolka</t>
  </si>
  <si>
    <t>worki do stomachera BagLightR 100 PolySilkR - sterylne woreczki bez filtra, 100ml, wym.
110x185mm,
500szt (20x25), nr kat. 131-025</t>
  </si>
  <si>
    <t>palnik Mekera bez zaworu, na wszystkie gazy</t>
  </si>
  <si>
    <t>Palinik Dragon 100, zapłon elektryczny, na naboje</t>
  </si>
  <si>
    <t>nabój do palnika Dragon</t>
  </si>
  <si>
    <t>Parafilm 100mm x38 m</t>
  </si>
  <si>
    <t>Sczotka do szkła laboratoryjnego włosie naturalne z czubkiem 25x90x300</t>
  </si>
  <si>
    <t>Sczotka do szkła laboratoryjnego włosie naturalne z wachlarzykiem 25x90x300</t>
  </si>
  <si>
    <t>Szczotka do zlewek - średnia</t>
  </si>
  <si>
    <t>szczotka do probówek z kogucikie średnia</t>
  </si>
  <si>
    <t xml:space="preserve">Butelka PP szeroka szyja 60 ml, z nakrętką </t>
  </si>
  <si>
    <t xml:space="preserve">Butelka PP szeroka szyja 125 ml, z nakrętką </t>
  </si>
  <si>
    <t xml:space="preserve">Butelka PP szeroka szyja 500 ml, z nakrętką </t>
  </si>
  <si>
    <t xml:space="preserve">Butelka PP szeroka szyja 1000 ml, z nakrętką </t>
  </si>
  <si>
    <t>Butla z kranem wodę destylowaną poj. 10 l</t>
  </si>
  <si>
    <t>Butla HDPE na wodę destylowaną grubościenna forma niska  z kranem 5 l</t>
  </si>
  <si>
    <t>Paski wskaźnikowe pH 1-10, op. 100 szt.</t>
  </si>
  <si>
    <t>Paski wskaźnikowe pH 0-14, op. 100 szt.</t>
  </si>
  <si>
    <t>Bibuła jakościowa Munktell 3W58x58cm</t>
  </si>
  <si>
    <t>Bibuła jakościowa Munktell 37/N 58x58 cm, 977125510</t>
  </si>
  <si>
    <t>Bibuła jakościowa średnia 45x56cm</t>
  </si>
  <si>
    <t>Bibuła jakościowa Munktell 3H 58x58cm</t>
  </si>
  <si>
    <t>Sączki ilościowe Munktell 388 śr. 7 cm</t>
  </si>
  <si>
    <t>Sączki ilościoweMunktell 388 śr. 9 cm</t>
  </si>
  <si>
    <t>Sączki ilościowe Munktell 388 śr. 11 cm</t>
  </si>
  <si>
    <t>Sączki ilościowe Munktell 388 śr. 12,5 cm</t>
  </si>
  <si>
    <t>Sączki ilościowe Munktell 388 śr. 15 cm</t>
  </si>
  <si>
    <t>Sączki ilościowe Munktell 388 śr. 18,5 cm</t>
  </si>
  <si>
    <t>Sączki ilościowe Munktell 389 śr. 7cm</t>
  </si>
  <si>
    <t>Sączki ilościowe Munktell 389 śr. 9 cm</t>
  </si>
  <si>
    <t>Sączki ilościowe Munktell 389 śr. 11 cm</t>
  </si>
  <si>
    <t>Sączki ilościowe Munktell 389 śr. 12,5 cm</t>
  </si>
  <si>
    <t>Sączki ilościowe Munktell 389 śr. 15 cm</t>
  </si>
  <si>
    <t>Sączki ilościowe Munktell 389 śr. 18,5 cm</t>
  </si>
  <si>
    <t>Sączki ilościowe Munktell 390 śr. 7 cm</t>
  </si>
  <si>
    <t>Sączki ilościowe Munktell 390 śr. 9 cm</t>
  </si>
  <si>
    <t>Sączki ilościowe Munktell 390 śr. 11 cm</t>
  </si>
  <si>
    <t>Sączki ilościowe Munktell 390 śr. 12,5 cm</t>
  </si>
  <si>
    <t>Sączki ilościowe Munktell 390 śr. 15 cm</t>
  </si>
  <si>
    <t>Sączki ilościowe Munktell 390 śr. 18,5 cm</t>
  </si>
  <si>
    <t>Sączki jakosciowe Filtrak 132 ŚR.12,5 CM (DO BADANIA GLEBY)</t>
  </si>
  <si>
    <t>Sączki jakościowe miękkie śr. 7 cm</t>
  </si>
  <si>
    <t>Sączki jakościowe miękkie śr. 9 cm</t>
  </si>
  <si>
    <t>Sączki jakościowe miękkie śr. 11 cm</t>
  </si>
  <si>
    <t>Sączki jakościowe miękkie śr. 12,5 cm</t>
  </si>
  <si>
    <t>Sączki jakościowe miękkie śr. 15 cm</t>
  </si>
  <si>
    <t>Sączki jakościowe miękkie śr. 18,5 cm</t>
  </si>
  <si>
    <t>Sączki jakościowe średnie śr. 7 cm</t>
  </si>
  <si>
    <t>Sączki jakościowe średnie śr. 9 cm</t>
  </si>
  <si>
    <t>Sączki jakościowe średnie śr. 11 cm</t>
  </si>
  <si>
    <t>Sączki jakościowe średnie śr. 12,5 cm</t>
  </si>
  <si>
    <t>Sączki jakościowe średnie śr. 15 cm</t>
  </si>
  <si>
    <t>Sączki jakościowe średnie śr. 18,5 cm</t>
  </si>
  <si>
    <t>Sączki jakościowe średnie śr. 24 cm</t>
  </si>
  <si>
    <t>Sączki jakościowe twarde śr. 7 cm</t>
  </si>
  <si>
    <t>Sączki jakościowe twarde śr. 9 cm</t>
  </si>
  <si>
    <t>Sączki jakościowe twarde śr. 11 cm</t>
  </si>
  <si>
    <t>Sączki jakościowe twarde śr. 12,5 cm</t>
  </si>
  <si>
    <t>Sączki jakościowe twarde śr. 15 cm</t>
  </si>
  <si>
    <t>Sączki jakościowe twarde śr. 18,5 cm</t>
  </si>
  <si>
    <t xml:space="preserve">Sączki strzykawowe PTFE, śr.30 mm, 0.45um, hydrofilowe, niesterylne  </t>
  </si>
  <si>
    <t>Sączki strzykawowe PTFE, śr.13 mm, 0.22um, hydrofilowe,</t>
  </si>
  <si>
    <t>Sączki strzykawowe Nylon 66, śr.13 mm,  0,22(.um), niesterylne , nr. kat. PTF1345NL1</t>
  </si>
  <si>
    <t>Sączki strzykawkowe Chromafil PET 45/15 , op. 800 szt., nr. kat. 729023.800</t>
  </si>
  <si>
    <t>800 szt.</t>
  </si>
  <si>
    <t>Sączki strzykawkowe Millex GP, 33mm, 0,22um, PES, 50/pk, SLGP033RS</t>
  </si>
  <si>
    <t>Sączki membranowe, mieszane estry celulozy (MCE), białe, gładkie Wielkość porów (um) 0,22 Śr. (mm) 47op. 100szt., GSWP04700</t>
  </si>
  <si>
    <t>Sączki strzykawkowe RC, śr. 30 mm, 0,45 um, niesterylne,</t>
  </si>
  <si>
    <t>Sączki strzykawkowe RC, śr. 30 mm, 0,2 um, niesterylne,</t>
  </si>
  <si>
    <t>Sączki membranowe NYLON, śr. 47 mm, 0,45 um, niesterylne, nr kat. HNWP02500</t>
  </si>
  <si>
    <t>Sączki membranowe PTFE, śr. 47 mm, 0,45 um, niesterylne, nr kat. FHLP04700</t>
  </si>
  <si>
    <t>Sączki strzykawkowe PTFE SLCR, śr. 25 mm, 0,45 um, niesterylne, nr kat. SLCR025NS</t>
  </si>
  <si>
    <t>Sączki strzykawkowe z prefiltrem PP, membrana właściwa PTFE , śr. 30 mm, 0,45 um, niesterylne,</t>
  </si>
  <si>
    <t>Pipety Pasteura o dł. 150 mm i śr. 7 mm, ze szkła op. 250szt.  76.6150.6 MED. LAB</t>
  </si>
  <si>
    <t>250szt</t>
  </si>
  <si>
    <t xml:space="preserve">Zestawy filtracyjne z butelką na gwint GL 45 i nakręcanym lejkiem z membraną PES, porowatość 0,2 um. Pojemność lejka oraz butelki 250 ml </t>
  </si>
  <si>
    <t>probówki na 7ml okrągłodenne z korkiem BE02</t>
  </si>
  <si>
    <t>200szt</t>
  </si>
  <si>
    <t>Kanister 25 l, UN transparentny</t>
  </si>
  <si>
    <t>uszcelki stożkowe GUKO - kpl. 8 szt.</t>
  </si>
  <si>
    <t>opak.</t>
  </si>
  <si>
    <t>smoczki do pipet</t>
  </si>
  <si>
    <t>woreczki strunowe 70x100, op. 100 szt.</t>
  </si>
  <si>
    <t>woreczki strunowe 250x300mm, op. 100 szt.</t>
  </si>
  <si>
    <t>woreczki strunowe 120x180mm, op. 100 szt.</t>
  </si>
  <si>
    <t>Zlewka PP , 50ml</t>
  </si>
  <si>
    <t>Zlewka PP , 100ml</t>
  </si>
  <si>
    <t>Zlewka PP , 250ml</t>
  </si>
  <si>
    <t>Zlewka z uchem i wylewem PP skala tłocz., 250 ml</t>
  </si>
  <si>
    <t>Zlewka z uchem i wylewem PP skala tłocz., 500 ml</t>
  </si>
  <si>
    <t>Zlewka z uchem i wylewem PP skala tłocz., 1000 ml</t>
  </si>
  <si>
    <t xml:space="preserve">Pipeta automatyczna nastawna 0,1 - 2,0  μl typ LM P z wyrzutnikiem końcówek    /5661/    </t>
  </si>
  <si>
    <t>_____</t>
  </si>
  <si>
    <t xml:space="preserve">Pipeta automatyczna nastawna 0,5 - 10,0  μl typ LM P z wyrzutnikiem końcówek   /5662/    </t>
  </si>
  <si>
    <t>Szt</t>
  </si>
  <si>
    <t xml:space="preserve">Pipeta automatyczna nastawna 2,0 - 20,0  μl typ LM P z wyrzutnikiem końcówek   /5663/  </t>
  </si>
  <si>
    <t xml:space="preserve">Pipeta automatyczna nastawna 5,0 - 50,0  μl typ LM P z wyrzutnikiem końcówek   /5667/  </t>
  </si>
  <si>
    <t xml:space="preserve">Pipeta automatyczna nastawna 10,0 - 100,0  μl typ  LMP  z wyrzutnikiem końcówek   /5664/   </t>
  </si>
  <si>
    <t xml:space="preserve">Pipeta automatyczna nastawna 20,0 - 200,0  μl typ  LMP  z wyrzutnikiem końcówek   /5665/   </t>
  </si>
  <si>
    <t xml:space="preserve">Pipeta automatyczna nastawna 100,0 - 1000,0  μl typ  LMP  z wyrzutnikiem końcówek   /5666/   </t>
  </si>
  <si>
    <r>
      <t xml:space="preserve">Pipeta automatyczna nastawna </t>
    </r>
    <r>
      <rPr>
        <sz val="10"/>
        <color rgb="FFFF0000"/>
        <rFont val="Times New Roman"/>
        <family val="1"/>
        <charset val="238"/>
      </rPr>
      <t>500,0 - 5000,0</t>
    </r>
    <r>
      <rPr>
        <sz val="10"/>
        <rFont val="Times New Roman"/>
        <family val="1"/>
        <charset val="238"/>
      </rPr>
      <t xml:space="preserve">  μl typ LMP z wyrzutnikiem końcówek   /5668/  </t>
    </r>
  </si>
  <si>
    <t xml:space="preserve">Pipeta automatyczna nastawna 1000,0 - 10000,0  μl typ LMP z wyrzutnikiem końcówek   /5669/  </t>
  </si>
  <si>
    <t xml:space="preserve">Pipeta automatyczna całkowicie autoklawowalna 0,5 - 10 μl DP 10   /6002/   </t>
  </si>
  <si>
    <t xml:space="preserve">Pipeta automatyczna całkowicie autoklawowalna 0,1 - 2 μl DP 2   /6001/    </t>
  </si>
  <si>
    <t xml:space="preserve">Pipeta automatyczna całkowicie autoklawowalna 10 -100  μl DP 100    /6004/   </t>
  </si>
  <si>
    <t xml:space="preserve">Pipeta automatyczna całkowicie autoklawowalna 100 - 1000 μl DP 1000    /6006/   </t>
  </si>
  <si>
    <t>Pipeta automatyczna nastawna 0,5-10ul, Discovery Comfort, DV10 /4042/</t>
  </si>
  <si>
    <t>Pipeta automatyczna nastawna 10-100ul, Discovery Comfort,  DV100 /4044/</t>
  </si>
  <si>
    <t>Pipeta automatyczna nastawna 100-1000ul, Discovery Comfory DV1000 /4046/</t>
  </si>
  <si>
    <t>Pipeta automatyczna nastawna 1-10ml, Discovery Comfort DV10000 /4049/</t>
  </si>
  <si>
    <r>
      <t xml:space="preserve">Końcówka do 1000ul sterylna z filtrem </t>
    </r>
    <r>
      <rPr>
        <sz val="10"/>
        <color rgb="FFFF0000"/>
        <rFont val="Times New Roman"/>
        <family val="1"/>
        <charset val="238"/>
      </rPr>
      <t>10x100szt</t>
    </r>
    <r>
      <rPr>
        <sz val="10"/>
        <rFont val="Times New Roman"/>
        <family val="1"/>
        <charset val="238"/>
      </rPr>
      <t>. 31006</t>
    </r>
  </si>
  <si>
    <t>Op</t>
  </si>
  <si>
    <r>
      <t>Końcówka do 10ul sterylna z filtrem</t>
    </r>
    <r>
      <rPr>
        <b/>
        <sz val="10"/>
        <color rgb="FFFF0000"/>
        <rFont val="Times New Roman"/>
        <family val="1"/>
        <charset val="238"/>
      </rPr>
      <t xml:space="preserve"> 10x96szt</t>
    </r>
    <r>
      <rPr>
        <sz val="10"/>
        <rFont val="Times New Roman"/>
        <family val="1"/>
        <charset val="238"/>
      </rPr>
      <t>. 30016</t>
    </r>
  </si>
  <si>
    <r>
      <t xml:space="preserve">Końcówka do 200ul sterylna z filtrem </t>
    </r>
    <r>
      <rPr>
        <sz val="10"/>
        <color rgb="FFFF0000"/>
        <rFont val="Times New Roman"/>
        <family val="1"/>
        <charset val="238"/>
      </rPr>
      <t>10x96szt</t>
    </r>
    <r>
      <rPr>
        <sz val="10"/>
        <rFont val="Times New Roman"/>
        <family val="1"/>
        <charset val="238"/>
      </rPr>
      <t>. 30206</t>
    </r>
  </si>
  <si>
    <t>Końcówki do pipet 0,5-10ul, op. 1000szt., HTL30011</t>
  </si>
  <si>
    <t>Końcówki do pipet 100-1000ul, op. 1000szt., HTL31001</t>
  </si>
  <si>
    <t>Końcówki do pipet 1000-5000ul, op. 1000szt., HTL35001</t>
  </si>
  <si>
    <t>Końcówki do pipet 0,5-10ul, op. 96szt x pudełko 10 ., HTL30012</t>
  </si>
  <si>
    <t>Końcówki do pipet 1-200ul, op. 96szt x pudełko 10 ., HTL30202</t>
  </si>
  <si>
    <t>Końcówki do pipet 100-1000ul, op. 100szt x pudełko 10 ., HTL31002</t>
  </si>
  <si>
    <t xml:space="preserve">Statyw karuzelowy do 6  pipet nastawnych typ 5484 </t>
  </si>
  <si>
    <t>Statyw liniowy do 4  pipet nastawnych typ 5480   HTL</t>
  </si>
  <si>
    <t>Końcówki do pipet  10 μl op. 1000 szt (81110)</t>
  </si>
  <si>
    <t>Końcówki do pipet  200 μl op. 1000 szt (83110)</t>
  </si>
  <si>
    <t>Końcówki do pipet  1000 μl op. 250 szt (85110)</t>
  </si>
  <si>
    <t>Końcówki do pipet 0,1 - 10 μl RACK 960 szt  (81410/</t>
  </si>
  <si>
    <t>Końcówki do pipet 2 - 200 μl RACK 960 szt (83410/</t>
  </si>
  <si>
    <t>Końcówki do pipet 2 - 300 μl RACK 960 szt (84410)</t>
  </si>
  <si>
    <t>Końcówki do pipet 100 - 1000 μl RACK 480 szt (85410)</t>
  </si>
  <si>
    <t>Końcówki do pipet 0,1 - 10 μl STARTER 576 szt (81510)</t>
  </si>
  <si>
    <t>Końcówki do pipet 2 - 200 μl STARTER 576 szt (83510)</t>
  </si>
  <si>
    <t>Końcówki do pipet 2 - 300 μl STARTER 576 szt (84510)</t>
  </si>
  <si>
    <t>Końcówki do pipet 100 - 1000 μl STARTER 288 szt (85510)</t>
  </si>
  <si>
    <t>Końcówki do pipet 0,1 - 10 μl RELOAD 960 szt (81710)</t>
  </si>
  <si>
    <t>Końcówki do pipet 2 - 200 μl RELOAD 960 szt (83710)</t>
  </si>
  <si>
    <t>Końcówki do pipet 2 - 300 μl RELOAD 960 szt /84710/</t>
  </si>
  <si>
    <t>Końcówki do pipet 100 - 1000 μl RELOAD 576 szt /85710/</t>
  </si>
  <si>
    <t>Końc.do pipet 1-5ml /150szt./  88011</t>
  </si>
  <si>
    <t>Końc.do pipet 1-10ml /100szt./  89011</t>
  </si>
  <si>
    <t>Końc.typ Eppend.poj.do 200ul /500szt..70.760.002</t>
  </si>
  <si>
    <t>Końc.typ Eppend.poj.do 1000ul /250szt..70.762</t>
  </si>
  <si>
    <t>Pipeta nastawna 0,5-10ul  147131110400</t>
  </si>
  <si>
    <t>Pipeta nastawna 10-100ul  147131110800</t>
  </si>
  <si>
    <t> Szt</t>
  </si>
  <si>
    <t>Pipeta nastawna 100-1000ul  147131111400</t>
  </si>
  <si>
    <t>Pipeta nastawna 1-5ml          147130000700</t>
  </si>
  <si>
    <t> szt</t>
  </si>
  <si>
    <t>Pipeta automatyczna 12-kanałowa Proline 0,5-10ul 720310</t>
  </si>
  <si>
    <t>Pipeta automatyczna 8-kanałowa Proline 0,5-10ul 720210</t>
  </si>
  <si>
    <t>Pipeta elactroniczna Picus NexT, 1-kanał, 50-1000 µl, z zasilaczem LH-745081</t>
  </si>
  <si>
    <t>Pipeta elactroniczna Picus NexT, 1-kanał, 100-5000 µl, z zasilaczem LH-745101</t>
  </si>
  <si>
    <t>Pipeta elactroniczna Picus NexT, 1-kanał, 500-10000 µl, z zasilaczem LH-745111</t>
  </si>
  <si>
    <t>Pipeta automatyczna m-line 100-1000ul, BHT0725070</t>
  </si>
  <si>
    <t>epTIPS Standard 0,1-10 µl; 2x500 szt.</t>
  </si>
  <si>
    <t>epTIPS Standard niebieskie 50-1000 µl; 2x500 szt.</t>
  </si>
  <si>
    <t>epTIPS Standard 100-5000 µl; 5x100 szt.</t>
  </si>
  <si>
    <t>epTIPS Standard 1-10 ml; 2x100 szt.</t>
  </si>
  <si>
    <t>epTIPS Box 100-5000 µl; pudełko, 1x24 szt.</t>
  </si>
  <si>
    <t>epTIPS Box 50-1000 µl, pudełko, 1x96 szt.</t>
  </si>
  <si>
    <t>epTIPS Box 0,1-10 µl, pudełko, 1x96 szt.</t>
  </si>
  <si>
    <t>Pipeta automatyczna Research Plus vari 100-1000ul, nr. kat. 3120062</t>
  </si>
  <si>
    <t>Pipeta automatyczna Research Plus vari 10-100ul, nr. kat. 3120046</t>
  </si>
  <si>
    <t>Pipeta automatyczna Research Plus vari 1-10ml, nr. kat. 3120089</t>
  </si>
  <si>
    <t>Pipeta automatyczna Research plus vari 3120 / 0,5-10 µl</t>
  </si>
  <si>
    <t>Zestaw pipet Research plus vari:  0,5-10 µl, 10-100 µl, 100-1000 µl</t>
  </si>
  <si>
    <t>zestaw</t>
  </si>
  <si>
    <t>Zestaw pipet Research plus vari:  2-20 µl, 20-200 µl, 100-1000 µl</t>
  </si>
  <si>
    <t>Zestaw pipet Research plus vari:  0,1-1 ml, 0,5-5 ml, 1-10 ml</t>
  </si>
  <si>
    <t>Statyw do pipet (karuzelowy) 3115</t>
  </si>
  <si>
    <t>Zakup</t>
  </si>
  <si>
    <t>Katalog</t>
  </si>
  <si>
    <t>Nr kat.</t>
  </si>
  <si>
    <t>Uwagi !!!</t>
  </si>
  <si>
    <t>cena do oferty - zamienniki</t>
  </si>
  <si>
    <t>cena katalogowa</t>
  </si>
  <si>
    <t>nr kat.</t>
  </si>
  <si>
    <t>nasza cena ofertowa</t>
  </si>
  <si>
    <t>Zakup PLN</t>
  </si>
  <si>
    <t>Katalog PLN</t>
  </si>
  <si>
    <t>Nr katalogowy</t>
  </si>
  <si>
    <t>Biureta z kr.szkl.pr.z pas.Schel. Kl.B 10ml</t>
  </si>
  <si>
    <t>08-111.202.16</t>
  </si>
  <si>
    <t>Chemland</t>
  </si>
  <si>
    <t>Biureta z kr.szkl.pr.z pas.Schel. Kl.B 25ml</t>
  </si>
  <si>
    <t>08-111.202.17</t>
  </si>
  <si>
    <t>Biureta z kr.szkl.pr.z pas.Schel. Kl.B 50ml</t>
  </si>
  <si>
    <t>08-111.202.18</t>
  </si>
  <si>
    <t>Biureta do oznaczania zawartośći amoniaku, sklaowana 0 - 100 ml, dwa korki szklane nr kat. LAB-100-AM</t>
  </si>
  <si>
    <t>LAB-100-AM</t>
  </si>
  <si>
    <t>0-100 </t>
  </si>
  <si>
    <t>Szymek</t>
  </si>
  <si>
    <t>Nadwyżka 3330,00 PLN netto</t>
  </si>
  <si>
    <t>Szymek ale to wstawka i dajemy niżej niż zakup 225,00 PLN netto. WPL 340,00-20%=272,00 PLN netto</t>
  </si>
  <si>
    <t>Butla laboratoryjna z nakręt. Plastikową szkło borokrzemowe BORO 3.3</t>
  </si>
  <si>
    <t>08-275.202.21</t>
  </si>
  <si>
    <t>Tu należy pilnować Archem i DHN</t>
  </si>
  <si>
    <t>08-275.202.11</t>
  </si>
  <si>
    <t>C827520221</t>
  </si>
  <si>
    <t>08-275.202.22</t>
  </si>
  <si>
    <t>C827520222</t>
  </si>
  <si>
    <t>08-275.202.12</t>
  </si>
  <si>
    <t>08-275.202.23</t>
  </si>
  <si>
    <t>C827520223</t>
  </si>
  <si>
    <t>08-275.202.13</t>
  </si>
  <si>
    <t>Butla laboratoryjna z nakręt. Plastikową szkło borokrzemowe  BORO 3.3</t>
  </si>
  <si>
    <t>08-275.202.24</t>
  </si>
  <si>
    <t>C827520224</t>
  </si>
  <si>
    <t>08-275.202.14</t>
  </si>
  <si>
    <t>Butla laboratoryjna z niebieska nakrętką Simax</t>
  </si>
  <si>
    <t>S414321100</t>
  </si>
  <si>
    <t>Megan</t>
  </si>
  <si>
    <t>S414321250</t>
  </si>
  <si>
    <t>S414321500</t>
  </si>
  <si>
    <t>S414321940</t>
  </si>
  <si>
    <t xml:space="preserve">Butla laboratoryjna z szeroką szyjką </t>
  </si>
  <si>
    <t>08-273.202.03</t>
  </si>
  <si>
    <t>sz.</t>
  </si>
  <si>
    <t>chemland</t>
  </si>
  <si>
    <t>08-273.202.04</t>
  </si>
  <si>
    <t>C827320204</t>
  </si>
  <si>
    <t>Butla laboratoryjna z szeroką szyjką</t>
  </si>
  <si>
    <t>08-273.202.05</t>
  </si>
  <si>
    <t>C827320205</t>
  </si>
  <si>
    <t xml:space="preserve">Butla laboratoryjna z wąską szyjką </t>
  </si>
  <si>
    <t>08-272.202.06</t>
  </si>
  <si>
    <t>C827220206</t>
  </si>
  <si>
    <t>08-272.202.07</t>
  </si>
  <si>
    <t>C827220207</t>
  </si>
  <si>
    <t>Butla laboratoryjna z wąską szyjką</t>
  </si>
  <si>
    <t>08-272.202.08</t>
  </si>
  <si>
    <t>C827220208</t>
  </si>
  <si>
    <t>Butelka ze szkła boro-krzemowego szlif 14/23 (standaryzowany) ze skalą</t>
  </si>
  <si>
    <t>08-272.008.02</t>
  </si>
  <si>
    <t>C827200802</t>
  </si>
  <si>
    <t>08-272.008.03</t>
  </si>
  <si>
    <t>C827200803</t>
  </si>
  <si>
    <t>Butelka ze szkła boro-krzemowego szlif 19/26 (standaryzowany) ze skalą</t>
  </si>
  <si>
    <t>08-272.008.04</t>
  </si>
  <si>
    <t>C827200806</t>
  </si>
  <si>
    <t>Butelka ze szkła boro-krzemowego szlif 24/29 (standaryzowany) ze skalą</t>
  </si>
  <si>
    <t>08-272.008.09</t>
  </si>
  <si>
    <t>C827200809</t>
  </si>
  <si>
    <t>Butelka, na odczynniki, wąska szyjka, korek pełny na szlif</t>
  </si>
  <si>
    <t>Butelka, na odczynniki, wąska szyjka, korek drążony na szlif</t>
  </si>
  <si>
    <t>Butelka na odczynniki szeroka szyjka, korek na szlif (III kl. hydrolityczna)</t>
  </si>
  <si>
    <t xml:space="preserve">Butelka kwadratowa biała, szkło Duran, niebieska nekrętka, pojemność 500 ml </t>
  </si>
  <si>
    <t>S414812500</t>
  </si>
  <si>
    <t>Megan, zakładam 25 % a nie 20%. Będziemy ich męczyć</t>
  </si>
  <si>
    <t>Butelka 500ml, kwadratowa, na odczynniki, z niebieską nakrętką GL80 (Simax)</t>
  </si>
  <si>
    <t>2080 M/500</t>
  </si>
  <si>
    <t xml:space="preserve">Butelka kwadratowa biała, szkło Duran, niebieska nekrętka, pojemność 1000 ml </t>
  </si>
  <si>
    <t>S414812940</t>
  </si>
  <si>
    <t>Butelka 1000ml, kwadratowa, na odczynniki, z niebieską nakrętką GL80 (Simax)</t>
  </si>
  <si>
    <t>2080 M/1000</t>
  </si>
  <si>
    <t>Butelka na balsam kandyjski</t>
  </si>
  <si>
    <t>ROTH-0708 </t>
  </si>
  <si>
    <t> ______</t>
  </si>
  <si>
    <t>To chyba wstawka ale wrazie czego Szymek/Megan</t>
  </si>
  <si>
    <t>Szymek 18,00 PLN netto</t>
  </si>
  <si>
    <t>Butla Woulffa z korkiem ze szlifem i kurkiem wylotowym</t>
  </si>
  <si>
    <t>Wstawka dołuje cenę</t>
  </si>
  <si>
    <t>Cylinder miar. podst.szkl.</t>
  </si>
  <si>
    <t>08-139.202.02</t>
  </si>
  <si>
    <t>08-139.202.03</t>
  </si>
  <si>
    <t>08-139.202.04</t>
  </si>
  <si>
    <t>08-139.202.05</t>
  </si>
  <si>
    <t>08-139.202.06</t>
  </si>
  <si>
    <t>08-139.202.07</t>
  </si>
  <si>
    <t>08-139.202.08</t>
  </si>
  <si>
    <t>08-139.202.09</t>
  </si>
  <si>
    <t>1601.04.920</t>
  </si>
  <si>
    <t>Lab Glass ale skala brązowa</t>
  </si>
  <si>
    <t>Cylinder miarowy PP</t>
  </si>
  <si>
    <t>02-2562</t>
  </si>
  <si>
    <t>C000280003</t>
  </si>
  <si>
    <t xml:space="preserve"> Czy nie zamienić  ze skala tłczoną na C000280003</t>
  </si>
  <si>
    <t>02-80004</t>
  </si>
  <si>
    <t>C000280004</t>
  </si>
  <si>
    <t xml:space="preserve"> Czy nie zamienić  ze skala tłczoną na C000280004</t>
  </si>
  <si>
    <t>02-80005</t>
  </si>
  <si>
    <t>C000280005</t>
  </si>
  <si>
    <t>Cylinder miarowy ze skalą, niski, stopka szklana sześciokątna, z wylewem, brązowa podziałka, klasa B</t>
  </si>
  <si>
    <t>megan</t>
  </si>
  <si>
    <t>Eksykator b/tub. Wykonanie z  PP śr.200 mm</t>
  </si>
  <si>
    <t>02-119.303.02</t>
  </si>
  <si>
    <t>_ </t>
  </si>
  <si>
    <t>C211930302</t>
  </si>
  <si>
    <t>Eksykator b/tub. Wykonanie z PP śr.150 mm</t>
  </si>
  <si>
    <t>02-119.303.01</t>
  </si>
  <si>
    <t> _</t>
  </si>
  <si>
    <t>C211930301</t>
  </si>
  <si>
    <t>Eksykator z gniazdem plastikowym, zawór odcinający , wkład porcelanowy</t>
  </si>
  <si>
    <t>w razie co realizujemy Chemland</t>
  </si>
  <si>
    <t>08-250.202240</t>
  </si>
  <si>
    <t>Kolba miarowa z kor.plast. Kl.A, szlif 12/21, oranżowa</t>
  </si>
  <si>
    <t>L61319963C</t>
  </si>
  <si>
    <t>L61319964C</t>
  </si>
  <si>
    <t>Kolba miarowa z kor.plast. Kl.A, szlif 14/23, oranżowa</t>
  </si>
  <si>
    <t>L61319966C</t>
  </si>
  <si>
    <t>Kolba miarowa z kor.plast. Kl.A, szlif 14/23, biała</t>
  </si>
  <si>
    <t>L61319626C</t>
  </si>
  <si>
    <t>Kolba miarowa z kor.plast. Kl.B</t>
  </si>
  <si>
    <t>08-130.202.02</t>
  </si>
  <si>
    <t>08-130.202.03</t>
  </si>
  <si>
    <t>08-130.202.04</t>
  </si>
  <si>
    <t>08-130.202.05</t>
  </si>
  <si>
    <t>08-130.202.07</t>
  </si>
  <si>
    <t>08-130.202.08</t>
  </si>
  <si>
    <t>08-130.202.09</t>
  </si>
  <si>
    <t>08-130.202.10</t>
  </si>
  <si>
    <t>Kolba stożkowa z szeroką szyjką</t>
  </si>
  <si>
    <t>08-232.202.03</t>
  </si>
  <si>
    <t>C823220203</t>
  </si>
  <si>
    <t>08-232.202.04</t>
  </si>
  <si>
    <t>C823220204</t>
  </si>
  <si>
    <t>08-232.202.06</t>
  </si>
  <si>
    <t>C823220206</t>
  </si>
  <si>
    <t>08-232.202.08</t>
  </si>
  <si>
    <t>C823220208</t>
  </si>
  <si>
    <t>Kolba stożkowa z wąską szyjką</t>
  </si>
  <si>
    <t>08-231.202.02</t>
  </si>
  <si>
    <t>C823120202</t>
  </si>
  <si>
    <t>08-231.202.03</t>
  </si>
  <si>
    <t>C823120203</t>
  </si>
  <si>
    <t>08-231.202.05</t>
  </si>
  <si>
    <t>C823120205</t>
  </si>
  <si>
    <t>08-231.202.06</t>
  </si>
  <si>
    <t>C823120206</t>
  </si>
  <si>
    <t>08-231.202.07</t>
  </si>
  <si>
    <t>C823120207</t>
  </si>
  <si>
    <t>08-231.202.08</t>
  </si>
  <si>
    <t>C823120208</t>
  </si>
  <si>
    <t>08-231.202.09</t>
  </si>
  <si>
    <t>C823120209</t>
  </si>
  <si>
    <t>Kolba stożkowa ze szlifem 14/23</t>
  </si>
  <si>
    <t>08-071.202.12</t>
  </si>
  <si>
    <t>C807120212</t>
  </si>
  <si>
    <t>Kolba stożkowa ze szlifem 29/32</t>
  </si>
  <si>
    <t>08-071.202.14</t>
  </si>
  <si>
    <t>C807120215</t>
  </si>
  <si>
    <t>08-071.202.18</t>
  </si>
  <si>
    <t>C807120218</t>
  </si>
  <si>
    <t>08-071.202.21</t>
  </si>
  <si>
    <t>C807120221</t>
  </si>
  <si>
    <t>Kolba stożkowa ze szlifem 29/33</t>
  </si>
  <si>
    <t>08-071.202.23</t>
  </si>
  <si>
    <t>C807120223</t>
  </si>
  <si>
    <t>08-071.202.27</t>
  </si>
  <si>
    <t>C807120227</t>
  </si>
  <si>
    <t>Kolba stożkowa PP z nakrętką</t>
  </si>
  <si>
    <t>VIT666941</t>
  </si>
  <si>
    <t>CVIT666941</t>
  </si>
  <si>
    <t>02-38101</t>
  </si>
  <si>
    <t>C000238101</t>
  </si>
  <si>
    <t>02-38102</t>
  </si>
  <si>
    <t>C000238102</t>
  </si>
  <si>
    <t>Kolba okrągłodenna ze szlifem 29/32</t>
  </si>
  <si>
    <t>08-057.202.22</t>
  </si>
  <si>
    <t>C805720222</t>
  </si>
  <si>
    <t>08-057.202.26</t>
  </si>
  <si>
    <t>C805720226</t>
  </si>
  <si>
    <t>Kolba filtracyjna z plastikowym podłączeniem bocznym i plastikowym tubusem forma cylindryczna</t>
  </si>
  <si>
    <t>Korek szklany 29/32</t>
  </si>
  <si>
    <t>01-011.205.06</t>
  </si>
  <si>
    <t>C101120506</t>
  </si>
  <si>
    <t>Korek szklany 14/23</t>
  </si>
  <si>
    <t>01-011.205.03</t>
  </si>
  <si>
    <t>_____ </t>
  </si>
  <si>
    <t>C101120503</t>
  </si>
  <si>
    <t>Krystalizatory z wylewem</t>
  </si>
  <si>
    <t>08-246.202.02</t>
  </si>
  <si>
    <t>C824620202</t>
  </si>
  <si>
    <t>08-246.202.04</t>
  </si>
  <si>
    <t>C824620205</t>
  </si>
  <si>
    <t>C824620204</t>
  </si>
  <si>
    <t>08-246.202.06</t>
  </si>
  <si>
    <t>C824620206</t>
  </si>
  <si>
    <t>08-246.202.07</t>
  </si>
  <si>
    <t>C824620207</t>
  </si>
  <si>
    <t>08-246.202.08</t>
  </si>
  <si>
    <t>C824620208</t>
  </si>
  <si>
    <t>08-246.202.09</t>
  </si>
  <si>
    <t>C824620209</t>
  </si>
  <si>
    <t>Lejek laboratoryjny śr. 100 mm</t>
  </si>
  <si>
    <t>08-238.202.100</t>
  </si>
  <si>
    <t>______</t>
  </si>
  <si>
    <t>C238202100</t>
  </si>
  <si>
    <t>Lejek laboratoryjny śr. 40 mm</t>
  </si>
  <si>
    <t>08-238.202.40</t>
  </si>
  <si>
    <t>C238202040</t>
  </si>
  <si>
    <t>Lejek laboratoryjny śr. 60 mm</t>
  </si>
  <si>
    <t>08-238.202.60</t>
  </si>
  <si>
    <t>C238202060</t>
  </si>
  <si>
    <t>Lejek laboratoryjny śr. 80 mm</t>
  </si>
  <si>
    <t>08-238.202.80</t>
  </si>
  <si>
    <t>C238202080</t>
  </si>
  <si>
    <t>Lejek laboratoryjny śr.120 mm</t>
  </si>
  <si>
    <t>08-238.202.125</t>
  </si>
  <si>
    <t>C238202125</t>
  </si>
  <si>
    <t>Lejek laboratoryjny śr.150 mm</t>
  </si>
  <si>
    <t>08-238.202.150</t>
  </si>
  <si>
    <t>C238202150</t>
  </si>
  <si>
    <t>Lejek analityczny śr.80 mm</t>
  </si>
  <si>
    <t>08-237.202.075</t>
  </si>
  <si>
    <t>C823720275</t>
  </si>
  <si>
    <t>Lej do zestawu filtracyjnego Millipore, poj. 300 ml , skalowany, kompatybilny z podstwą ze spiekiem i klamrą</t>
  </si>
  <si>
    <t>______ </t>
  </si>
  <si>
    <t>GL26024501</t>
  </si>
  <si>
    <t>Alfachem</t>
  </si>
  <si>
    <t>alfachem</t>
  </si>
  <si>
    <t>Lej do zestawu filtracyjnego Millipore, poj. 1000 ml , skalowany, kompatybilny z podstwą ze spiekiem i klamrą</t>
  </si>
  <si>
    <t>GL25824511 Labit</t>
  </si>
  <si>
    <t>GL25824511</t>
  </si>
  <si>
    <t>Alfachem/Labit</t>
  </si>
  <si>
    <t>Lej Imhoffa z zaworem odcinającym</t>
  </si>
  <si>
    <t>08-239.202.01</t>
  </si>
  <si>
    <t>Naczyńko wagowe, wieczko szkl. 35x30</t>
  </si>
  <si>
    <t>08-263.35x30</t>
  </si>
  <si>
    <t>C082633530</t>
  </si>
  <si>
    <t>Naczyńko wagowe, wieczko szkl. 40x30</t>
  </si>
  <si>
    <t>08-263.40x30</t>
  </si>
  <si>
    <t>C082634030</t>
  </si>
  <si>
    <t>Naczyńko wagowe, wieczko szkl. 50x30</t>
  </si>
  <si>
    <t>08-263.50x30</t>
  </si>
  <si>
    <t>C082635030</t>
  </si>
  <si>
    <t>Naczyńko wagowe, wieczko szkl. 60x40</t>
  </si>
  <si>
    <t>08-263.60x40</t>
  </si>
  <si>
    <t>C082636040</t>
  </si>
  <si>
    <t>Naczynko 2ml jasne z zakrętką z septą silikon/PTFE/op.100szt.</t>
  </si>
  <si>
    <t>11090519+09150838</t>
  </si>
  <si>
    <t>Anchem</t>
  </si>
  <si>
    <t>GP Pharma - zakup 59,00 zł</t>
  </si>
  <si>
    <t>11090519+09151819</t>
  </si>
  <si>
    <t>14+17=31 Euro, Euro licze po 4,3</t>
  </si>
  <si>
    <t>Naczynko 2ml oranż z zakrętką z septą  silikon/PTFE/op.100szt</t>
  </si>
  <si>
    <t>11090520+09150839</t>
  </si>
  <si>
    <t xml:space="preserve">gp pharma   </t>
  </si>
  <si>
    <t>11090520+09151819</t>
  </si>
  <si>
    <t xml:space="preserve">Inserty do wialek 0,2 ml 31X6MM płaski  </t>
  </si>
  <si>
    <t>LA06090866</t>
  </si>
  <si>
    <t>op. 100 szt.</t>
  </si>
  <si>
    <t>opak</t>
  </si>
  <si>
    <t xml:space="preserve">LA06090866 </t>
  </si>
  <si>
    <t>Palnik szklany spir. Kołpak metalowy</t>
  </si>
  <si>
    <t>08-514.202.120</t>
  </si>
  <si>
    <t>C514202120</t>
  </si>
  <si>
    <t>Chemlamd</t>
  </si>
  <si>
    <t>08-514.202120</t>
  </si>
  <si>
    <t>Pipeta jednomiarowa klasa B</t>
  </si>
  <si>
    <t>08-123.202.06</t>
  </si>
  <si>
    <t>08-123.202.08</t>
  </si>
  <si>
    <t>08-123.202.11</t>
  </si>
  <si>
    <t>Pipeta wielomiarowa z pas. klasa B</t>
  </si>
  <si>
    <t>08-126.202.04</t>
  </si>
  <si>
    <t>08-126.202.06</t>
  </si>
  <si>
    <t>08-126.202.08</t>
  </si>
  <si>
    <t>08-126.202.10</t>
  </si>
  <si>
    <t>08-126.202.12</t>
  </si>
  <si>
    <t>Pipeta automatyczna Kippa, poj. 30 ml, z kolbą nz szlif nr kat. 446 003 030</t>
  </si>
  <si>
    <t>Pipeta automatyczna uchylna z kolbą 30ml, (Simax)</t>
  </si>
  <si>
    <t>7365/30</t>
  </si>
  <si>
    <t>Bagietki szklane 6x180</t>
  </si>
  <si>
    <t>C52056X200</t>
  </si>
  <si>
    <t>Bagietki szklane 5x300</t>
  </si>
  <si>
    <t>C52045X300</t>
  </si>
  <si>
    <t>Probówka bakteriologiczna 15-16x160</t>
  </si>
  <si>
    <t>08-288.16*160</t>
  </si>
  <si>
    <t>C828816160</t>
  </si>
  <si>
    <t>Rozdzielacz gruszkowy kr.tefl.</t>
  </si>
  <si>
    <t>08-152.202.04</t>
  </si>
  <si>
    <t>C815220204</t>
  </si>
  <si>
    <t>Rozdzielacz cylindryczny kr.tefl.</t>
  </si>
  <si>
    <t>08-157.202.03</t>
  </si>
  <si>
    <t>C815720203</t>
  </si>
  <si>
    <t>08-157.202.04</t>
  </si>
  <si>
    <t>C815720204</t>
  </si>
  <si>
    <t>Rozdzielacz cylindryczny otwarty 500 ml nr kat. 426 010 500</t>
  </si>
  <si>
    <t>Nadwyżka 733,80 PLN netto</t>
  </si>
  <si>
    <t>Megan ale to wstawka, zakup 83,38 x 10=833,80</t>
  </si>
  <si>
    <t>Rozdzielacz cylindryczny, otwarty 500ml</t>
  </si>
  <si>
    <t>Szkielka podstawowe szlif op.50 szt.</t>
  </si>
  <si>
    <t>04-296.202.02</t>
  </si>
  <si>
    <t>C429620202</t>
  </si>
  <si>
    <t>Szkiełka nakrywkowe 24x24 op. 100szt.</t>
  </si>
  <si>
    <t>04-298.202.04</t>
  </si>
  <si>
    <t>C429820204</t>
  </si>
  <si>
    <t>Szkiełka nakrywkowe 24x60 op. 100szt.</t>
  </si>
  <si>
    <t>04-298.202.08</t>
  </si>
  <si>
    <t>C429820208</t>
  </si>
  <si>
    <t>Barwiacz do szkiełek mikr. poziomy</t>
  </si>
  <si>
    <t>08-420.202.02</t>
  </si>
  <si>
    <t>C842020202</t>
  </si>
  <si>
    <t>Barwiacz do szkiełek mikr. Pionowy</t>
  </si>
  <si>
    <t>08-420.202.01</t>
  </si>
  <si>
    <t>C842020201</t>
  </si>
  <si>
    <t>Termometr lab. 0+100 1/1 płyn</t>
  </si>
  <si>
    <t>08-342-110</t>
  </si>
  <si>
    <t>C008342110</t>
  </si>
  <si>
    <t>Cena od Zbyszka</t>
  </si>
  <si>
    <t>059.02.002N</t>
  </si>
  <si>
    <t>Lab Glas</t>
  </si>
  <si>
    <t>Termometr lab. 0+150 1/1 płyn</t>
  </si>
  <si>
    <t>08-342-150</t>
  </si>
  <si>
    <t>C008342150</t>
  </si>
  <si>
    <t>8114.01.003</t>
  </si>
  <si>
    <t>Termometr lab. 0+200 1/1 płyn</t>
  </si>
  <si>
    <t>08-342-250</t>
  </si>
  <si>
    <t>C008342200</t>
  </si>
  <si>
    <t>8114.01.004</t>
  </si>
  <si>
    <t>Termometr lab. 0+50 1/1  płyn</t>
  </si>
  <si>
    <t>08-342-050</t>
  </si>
  <si>
    <t>C008342050</t>
  </si>
  <si>
    <t>8114.01.001</t>
  </si>
  <si>
    <t>Tygiel filtracyjny poj. 50 ml, śr. 40 mm, spiek G3</t>
  </si>
  <si>
    <t>TF/2</t>
  </si>
  <si>
    <t>C125520223</t>
  </si>
  <si>
    <t>labit</t>
  </si>
  <si>
    <t>Labit</t>
  </si>
  <si>
    <t>Tygiel filtracyjny poj. 50 ml, śr. 40 mm, spiek G4</t>
  </si>
  <si>
    <t>C125520233</t>
  </si>
  <si>
    <t>Wialka ND18 Snap Cap, biała 5 ml, op. 100 szt.</t>
  </si>
  <si>
    <t>18 09 0906</t>
  </si>
  <si>
    <t>anchem lu MN</t>
  </si>
  <si>
    <t>Korek PE ND18 do wialki 5 ml i 10 ml, op. 100 szt.</t>
  </si>
  <si>
    <t>18 08 0913</t>
  </si>
  <si>
    <t>Wialka ND18 Snap Cap, biała 10 ml, op. 100 szt.</t>
  </si>
  <si>
    <t>18 09 0907</t>
  </si>
  <si>
    <t>Zestaw do filtracji MicroSystem 47 mm, komplet zawiera lej 300 ml , klamrę , podstawę leja za spiekiem montowaną na gwint GL45</t>
  </si>
  <si>
    <t>ALFA000SM0</t>
  </si>
  <si>
    <t>378,00 - 500,00</t>
  </si>
  <si>
    <t>ALFA000SM0, ewentualna nadwyżka około 1500 - 2000 PLN netto</t>
  </si>
  <si>
    <t>Zlewka niska skal. z polem do zapisu</t>
  </si>
  <si>
    <t>08-229.202.03</t>
  </si>
  <si>
    <t>C822920203</t>
  </si>
  <si>
    <t>08-229.202.04</t>
  </si>
  <si>
    <t>C822920204</t>
  </si>
  <si>
    <t>08-229.202.05</t>
  </si>
  <si>
    <t>C822920205</t>
  </si>
  <si>
    <t>08-229.202.06</t>
  </si>
  <si>
    <t>C822920206</t>
  </si>
  <si>
    <t>08-229.202.07</t>
  </si>
  <si>
    <t>C822920207</t>
  </si>
  <si>
    <t>08-229.202.09</t>
  </si>
  <si>
    <t>C822920209</t>
  </si>
  <si>
    <t>08-229.202.11</t>
  </si>
  <si>
    <t>C822920211</t>
  </si>
  <si>
    <t>08-229.202.12</t>
  </si>
  <si>
    <t>C822920212</t>
  </si>
  <si>
    <t>08-229.202.13</t>
  </si>
  <si>
    <t>C822920213</t>
  </si>
  <si>
    <t>08-229.202.14</t>
  </si>
  <si>
    <t>C822920214</t>
  </si>
  <si>
    <t>1101.01.920</t>
  </si>
  <si>
    <t>Lab Glass</t>
  </si>
  <si>
    <t>08-229.202.15</t>
  </si>
  <si>
    <t>C822920215</t>
  </si>
  <si>
    <t>1101.01.930</t>
  </si>
  <si>
    <t>08-229.202.16</t>
  </si>
  <si>
    <t>C822920216</t>
  </si>
  <si>
    <t>Zlewka wysoka skal. z polem do zapisu</t>
  </si>
  <si>
    <t>08-230.202.06</t>
  </si>
  <si>
    <t>C823020206</t>
  </si>
  <si>
    <t>08-230.202.07</t>
  </si>
  <si>
    <t>C823020207</t>
  </si>
  <si>
    <t>08-230.202.08</t>
  </si>
  <si>
    <t>C823020208</t>
  </si>
  <si>
    <t>08-230.202.09</t>
  </si>
  <si>
    <t>C823020209</t>
  </si>
  <si>
    <t>1102.01.900</t>
  </si>
  <si>
    <t>08-230.202.10</t>
  </si>
  <si>
    <t>C823020210</t>
  </si>
  <si>
    <t>1102.01.920</t>
  </si>
  <si>
    <t>Zlewka z uchem</t>
  </si>
  <si>
    <t>08.-229.202.35</t>
  </si>
  <si>
    <t>C822920235</t>
  </si>
  <si>
    <t>08.-229.202.37</t>
  </si>
  <si>
    <t>C822920237</t>
  </si>
  <si>
    <t>08.-229.202.40</t>
  </si>
  <si>
    <t>C822920240</t>
  </si>
  <si>
    <t>08.-229.202.38</t>
  </si>
  <si>
    <t>C822920243</t>
  </si>
  <si>
    <t>Parownica porcelanowa</t>
  </si>
  <si>
    <t>12-814043.100</t>
  </si>
  <si>
    <t>C814043100</t>
  </si>
  <si>
    <t>Kolba miarowa z korkiem PP- Duran</t>
  </si>
  <si>
    <t>372 43</t>
  </si>
  <si>
    <t>372 47</t>
  </si>
  <si>
    <t>372 90</t>
  </si>
  <si>
    <t>C130202B54</t>
  </si>
  <si>
    <t>Chemland szyja 14/23</t>
  </si>
  <si>
    <t>372 91</t>
  </si>
  <si>
    <t>C130202255</t>
  </si>
  <si>
    <t>372 51</t>
  </si>
  <si>
    <t>C113020257</t>
  </si>
  <si>
    <t>372 52</t>
  </si>
  <si>
    <t>C113020258</t>
  </si>
  <si>
    <t>Chemland szyja 19/26</t>
  </si>
  <si>
    <t>372 53</t>
  </si>
  <si>
    <t>C113020259</t>
  </si>
  <si>
    <t>Chemland szyja 24/29</t>
  </si>
  <si>
    <t>201-1325</t>
  </si>
  <si>
    <t>201-1329</t>
  </si>
  <si>
    <t>korek 29/32</t>
  </si>
  <si>
    <t>217-9130</t>
  </si>
  <si>
    <t>Wiskozymetry Ubbelohde typ 501 10</t>
  </si>
  <si>
    <t>Donserv lub VWR</t>
  </si>
  <si>
    <t>Wiskozymetry Ubbelohde typ 501 11</t>
  </si>
  <si>
    <t>Wiskozymetry Ubbelohde typ 501 20</t>
  </si>
  <si>
    <t>1) Łącznie wartość  netto(zsumowanie pozycji z kolumny nr 7)                    50 494,79  PLN</t>
  </si>
  <si>
    <t xml:space="preserve">2) Łącznie  wartość   brutto (zsumowanie pozycji z kolumny nr 9)                61 925,37  PLN </t>
  </si>
  <si>
    <t>Poznań, dnia 17.11.2016</t>
  </si>
  <si>
    <t xml:space="preserve">                                                                                                                                                                            </t>
  </si>
  <si>
    <t>ODCZYNNIKI  -  Umowa Nr 25/DGZ/PN/2016   do dn. 05.12.2017.   ALFACHEM</t>
  </si>
  <si>
    <t>SZKŁO  -  Umowa Nr 27/DGZ/PN/2016   do dn. 05.12.2017.   ALFACHEM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</si>
</sst>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[$zł-415]"/>
  </numFmts>
  <fonts count="52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color rgb="FF000000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vertAlign val="subscript"/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sz val="8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rgb="FF222222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u/>
      <sz val="10"/>
      <color theme="1"/>
      <name val="Times New Roman"/>
      <family val="1"/>
      <charset val="238"/>
    </font>
    <font>
      <b/>
      <sz val="12"/>
      <name val="Times New Roman"/>
      <family val="1"/>
      <charset val="1"/>
    </font>
    <font>
      <b/>
      <sz val="12"/>
      <color rgb="FFFF0000"/>
      <name val="Times New Roman"/>
      <family val="1"/>
      <charset val="1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rgb="FF222222"/>
      <name val="Tahoma"/>
      <family val="2"/>
      <charset val="238"/>
    </font>
    <font>
      <sz val="8"/>
      <color rgb="FF444444"/>
      <name val="Verdana"/>
      <family val="2"/>
      <charset val="238"/>
    </font>
    <font>
      <sz val="8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color theme="1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b/>
      <strike/>
      <sz val="11"/>
      <color rgb="FFFF0000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8"/>
      <color theme="1"/>
      <name val="Verdana"/>
      <family val="2"/>
      <charset val="238"/>
    </font>
    <font>
      <sz val="10"/>
      <color theme="1"/>
      <name val="Tahoma"/>
      <family val="2"/>
      <charset val="238"/>
    </font>
    <font>
      <b/>
      <sz val="12"/>
      <color theme="1"/>
      <name val="Times New Roman"/>
      <family val="1"/>
      <charset val="1"/>
    </font>
    <font>
      <sz val="8"/>
      <color rgb="FFFF0000"/>
      <name val="Tahoma"/>
      <family val="2"/>
      <charset val="238"/>
    </font>
    <font>
      <b/>
      <sz val="12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medium">
        <color rgb="FFB3B3B5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7" fillId="0" borderId="0" applyNumberFormat="0" applyBorder="0" applyProtection="0"/>
    <xf numFmtId="0" fontId="8" fillId="0" borderId="0"/>
    <xf numFmtId="0" fontId="12" fillId="0" borderId="0"/>
    <xf numFmtId="0" fontId="33" fillId="0" borderId="0" applyNumberFormat="0" applyFill="0" applyBorder="0" applyAlignment="0" applyProtection="0"/>
  </cellStyleXfs>
  <cellXfs count="420">
    <xf numFmtId="0" fontId="0" fillId="0" borderId="0" xfId="0"/>
    <xf numFmtId="0" fontId="3" fillId="0" borderId="0" xfId="0" applyFont="1" applyAlignment="1">
      <alignment horizontal="right" vertical="center" indent="5"/>
    </xf>
    <xf numFmtId="0" fontId="0" fillId="0" borderId="0" xfId="0" applyAlignment="1"/>
    <xf numFmtId="0" fontId="0" fillId="0" borderId="0" xfId="0" applyNumberFormat="1"/>
    <xf numFmtId="0" fontId="2" fillId="0" borderId="0" xfId="0" applyFont="1" applyAlignment="1">
      <alignment horizontal="center"/>
    </xf>
    <xf numFmtId="0" fontId="0" fillId="2" borderId="0" xfId="0" applyFill="1"/>
    <xf numFmtId="0" fontId="0" fillId="3" borderId="0" xfId="0" applyFill="1"/>
    <xf numFmtId="0" fontId="1" fillId="0" borderId="0" xfId="0" applyFont="1"/>
    <xf numFmtId="0" fontId="0" fillId="4" borderId="0" xfId="0" applyFill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indent="6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0" fontId="6" fillId="0" borderId="5" xfId="0" applyFont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2" fontId="6" fillId="5" borderId="7" xfId="0" applyNumberFormat="1" applyFont="1" applyFill="1" applyBorder="1" applyAlignment="1">
      <alignment vertical="center" wrapText="1"/>
    </xf>
    <xf numFmtId="2" fontId="6" fillId="5" borderId="5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2" fontId="6" fillId="5" borderId="0" xfId="0" applyNumberFormat="1" applyFont="1" applyFill="1" applyBorder="1" applyAlignment="1">
      <alignment horizontal="center" vertical="center" wrapText="1"/>
    </xf>
    <xf numFmtId="0" fontId="6" fillId="5" borderId="0" xfId="0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0" fontId="0" fillId="0" borderId="0" xfId="0" applyBorder="1"/>
    <xf numFmtId="0" fontId="1" fillId="0" borderId="0" xfId="0" applyFont="1" applyAlignment="1">
      <alignment wrapText="1"/>
    </xf>
    <xf numFmtId="0" fontId="0" fillId="4" borderId="0" xfId="0" applyFill="1" applyAlignment="1">
      <alignment wrapText="1"/>
    </xf>
    <xf numFmtId="0" fontId="7" fillId="0" borderId="10" xfId="1" applyFont="1" applyFill="1" applyBorder="1" applyAlignment="1" applyProtection="1"/>
    <xf numFmtId="2" fontId="7" fillId="0" borderId="10" xfId="1" applyNumberFormat="1" applyFont="1" applyFill="1" applyBorder="1" applyAlignment="1" applyProtection="1"/>
    <xf numFmtId="0" fontId="9" fillId="6" borderId="11" xfId="2" applyFont="1" applyFill="1" applyBorder="1" applyAlignment="1">
      <alignment horizontal="left" vertical="center" wrapText="1"/>
    </xf>
    <xf numFmtId="0" fontId="9" fillId="0" borderId="11" xfId="2" applyFont="1" applyFill="1" applyBorder="1" applyAlignment="1">
      <alignment horizontal="center" vertical="center" wrapText="1"/>
    </xf>
    <xf numFmtId="43" fontId="9" fillId="6" borderId="11" xfId="2" applyNumberFormat="1" applyFont="1" applyFill="1" applyBorder="1" applyAlignment="1">
      <alignment vertical="center" wrapText="1"/>
    </xf>
    <xf numFmtId="43" fontId="9" fillId="6" borderId="11" xfId="2" applyNumberFormat="1" applyFont="1" applyFill="1" applyBorder="1" applyAlignment="1">
      <alignment horizontal="left" vertical="center" wrapText="1"/>
    </xf>
    <xf numFmtId="9" fontId="9" fillId="6" borderId="11" xfId="0" applyNumberFormat="1" applyFont="1" applyFill="1" applyBorder="1" applyAlignment="1">
      <alignment horizontal="left" vertical="center"/>
    </xf>
    <xf numFmtId="4" fontId="9" fillId="6" borderId="11" xfId="0" applyNumberFormat="1" applyFont="1" applyFill="1" applyBorder="1" applyAlignment="1">
      <alignment horizontal="left" vertical="center"/>
    </xf>
    <xf numFmtId="4" fontId="9" fillId="6" borderId="0" xfId="0" applyNumberFormat="1" applyFont="1" applyFill="1" applyBorder="1" applyAlignment="1">
      <alignment horizontal="left" vertical="center"/>
    </xf>
    <xf numFmtId="4" fontId="9" fillId="6" borderId="0" xfId="0" applyNumberFormat="1" applyFont="1" applyFill="1" applyBorder="1" applyAlignment="1">
      <alignment horizontal="center" vertical="center"/>
    </xf>
    <xf numFmtId="0" fontId="9" fillId="6" borderId="0" xfId="0" applyNumberFormat="1" applyFont="1" applyFill="1" applyBorder="1" applyAlignment="1">
      <alignment horizontal="left" vertical="center"/>
    </xf>
    <xf numFmtId="0" fontId="10" fillId="6" borderId="0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left" vertical="center"/>
    </xf>
    <xf numFmtId="0" fontId="0" fillId="6" borderId="0" xfId="0" applyFill="1"/>
    <xf numFmtId="0" fontId="1" fillId="6" borderId="0" xfId="0" applyFont="1" applyFill="1"/>
    <xf numFmtId="0" fontId="7" fillId="6" borderId="10" xfId="1" applyFont="1" applyFill="1" applyBorder="1" applyAlignment="1" applyProtection="1"/>
    <xf numFmtId="2" fontId="7" fillId="6" borderId="10" xfId="1" applyNumberFormat="1" applyFont="1" applyFill="1" applyBorder="1" applyAlignment="1" applyProtection="1"/>
    <xf numFmtId="0" fontId="9" fillId="6" borderId="11" xfId="2" applyFont="1" applyFill="1" applyBorder="1" applyAlignment="1">
      <alignment horizontal="center" vertical="center" wrapText="1"/>
    </xf>
    <xf numFmtId="9" fontId="0" fillId="6" borderId="0" xfId="0" applyNumberFormat="1" applyFill="1"/>
    <xf numFmtId="0" fontId="9" fillId="0" borderId="11" xfId="0" applyFont="1" applyFill="1" applyBorder="1" applyAlignment="1">
      <alignment horizontal="left" vertical="center" wrapText="1"/>
    </xf>
    <xf numFmtId="0" fontId="9" fillId="0" borderId="11" xfId="2" applyFont="1" applyFill="1" applyBorder="1" applyAlignment="1">
      <alignment horizontal="left" vertical="center" wrapText="1"/>
    </xf>
    <xf numFmtId="43" fontId="9" fillId="0" borderId="11" xfId="2" applyNumberFormat="1" applyFont="1" applyFill="1" applyBorder="1" applyAlignment="1">
      <alignment vertical="center" wrapText="1"/>
    </xf>
    <xf numFmtId="0" fontId="9" fillId="6" borderId="11" xfId="2" applyFont="1" applyFill="1" applyBorder="1" applyAlignment="1">
      <alignment horizontal="left" vertical="center"/>
    </xf>
    <xf numFmtId="0" fontId="9" fillId="6" borderId="11" xfId="2" applyFont="1" applyFill="1" applyBorder="1" applyAlignment="1">
      <alignment horizontal="center" vertical="center"/>
    </xf>
    <xf numFmtId="4" fontId="11" fillId="6" borderId="0" xfId="0" applyNumberFormat="1" applyFont="1" applyFill="1" applyBorder="1" applyAlignment="1">
      <alignment horizontal="left" vertical="center"/>
    </xf>
    <xf numFmtId="0" fontId="1" fillId="6" borderId="0" xfId="0" applyFont="1" applyFill="1" applyAlignment="1">
      <alignment wrapText="1"/>
    </xf>
    <xf numFmtId="0" fontId="13" fillId="6" borderId="0" xfId="3" applyFont="1" applyFill="1"/>
    <xf numFmtId="43" fontId="9" fillId="0" borderId="11" xfId="2" applyNumberFormat="1" applyFont="1" applyFill="1" applyBorder="1" applyAlignment="1">
      <alignment horizontal="left" vertical="center" wrapText="1"/>
    </xf>
    <xf numFmtId="0" fontId="9" fillId="0" borderId="11" xfId="2" applyFont="1" applyFill="1" applyBorder="1" applyAlignment="1">
      <alignment horizontal="left" vertical="center"/>
    </xf>
    <xf numFmtId="0" fontId="9" fillId="0" borderId="11" xfId="2" applyFont="1" applyFill="1" applyBorder="1" applyAlignment="1">
      <alignment horizontal="center" vertical="center"/>
    </xf>
    <xf numFmtId="0" fontId="14" fillId="6" borderId="11" xfId="2" applyFont="1" applyFill="1" applyBorder="1" applyAlignment="1">
      <alignment horizontal="left" vertical="center" wrapText="1"/>
    </xf>
    <xf numFmtId="0" fontId="11" fillId="6" borderId="11" xfId="2" applyFont="1" applyFill="1" applyBorder="1" applyAlignment="1">
      <alignment horizontal="left" vertical="center" wrapText="1"/>
    </xf>
    <xf numFmtId="0" fontId="11" fillId="6" borderId="11" xfId="2" applyFont="1" applyFill="1" applyBorder="1" applyAlignment="1">
      <alignment horizontal="center" vertical="center" wrapText="1"/>
    </xf>
    <xf numFmtId="0" fontId="11" fillId="0" borderId="11" xfId="2" applyFont="1" applyFill="1" applyBorder="1" applyAlignment="1">
      <alignment horizontal="center" vertical="center" wrapText="1"/>
    </xf>
    <xf numFmtId="0" fontId="16" fillId="6" borderId="10" xfId="1" applyFont="1" applyFill="1" applyBorder="1" applyAlignment="1" applyProtection="1"/>
    <xf numFmtId="0" fontId="15" fillId="6" borderId="0" xfId="3" applyFont="1" applyFill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7" fillId="0" borderId="11" xfId="2" applyFont="1" applyFill="1" applyBorder="1" applyAlignment="1">
      <alignment horizontal="left" vertical="center" wrapText="1"/>
    </xf>
    <xf numFmtId="0" fontId="0" fillId="6" borderId="0" xfId="0" applyFill="1" applyAlignment="1">
      <alignment wrapText="1"/>
    </xf>
    <xf numFmtId="9" fontId="9" fillId="0" borderId="11" xfId="2" applyNumberFormat="1" applyFont="1" applyFill="1" applyBorder="1" applyAlignment="1">
      <alignment horizontal="left" vertical="center" wrapText="1"/>
    </xf>
    <xf numFmtId="0" fontId="17" fillId="6" borderId="11" xfId="2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9" fontId="9" fillId="0" borderId="11" xfId="0" applyNumberFormat="1" applyFont="1" applyFill="1" applyBorder="1" applyAlignment="1">
      <alignment horizontal="left" vertical="center"/>
    </xf>
    <xf numFmtId="4" fontId="9" fillId="0" borderId="11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/>
    </xf>
    <xf numFmtId="0" fontId="11" fillId="0" borderId="11" xfId="2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left" vertical="center"/>
    </xf>
    <xf numFmtId="4" fontId="9" fillId="7" borderId="0" xfId="0" applyNumberFormat="1" applyFont="1" applyFill="1" applyBorder="1" applyAlignment="1">
      <alignment horizontal="center" vertical="center"/>
    </xf>
    <xf numFmtId="0" fontId="18" fillId="8" borderId="11" xfId="0" applyFont="1" applyFill="1" applyBorder="1" applyAlignment="1">
      <alignment vertical="center" wrapText="1"/>
    </xf>
    <xf numFmtId="0" fontId="18" fillId="8" borderId="11" xfId="0" applyFont="1" applyFill="1" applyBorder="1" applyAlignment="1">
      <alignment vertical="center"/>
    </xf>
    <xf numFmtId="0" fontId="18" fillId="8" borderId="11" xfId="0" quotePrefix="1" applyFont="1" applyFill="1" applyBorder="1" applyAlignment="1">
      <alignment vertical="center" wrapText="1"/>
    </xf>
    <xf numFmtId="0" fontId="18" fillId="8" borderId="11" xfId="0" applyFont="1" applyFill="1" applyBorder="1" applyAlignment="1">
      <alignment horizontal="center" vertical="center"/>
    </xf>
    <xf numFmtId="0" fontId="9" fillId="6" borderId="0" xfId="0" applyFont="1" applyFill="1"/>
    <xf numFmtId="0" fontId="17" fillId="6" borderId="0" xfId="0" applyFont="1" applyFill="1"/>
    <xf numFmtId="0" fontId="18" fillId="6" borderId="10" xfId="1" applyFont="1" applyFill="1" applyBorder="1" applyAlignment="1" applyProtection="1"/>
    <xf numFmtId="2" fontId="18" fillId="6" borderId="10" xfId="1" applyNumberFormat="1" applyFont="1" applyFill="1" applyBorder="1" applyAlignment="1" applyProtection="1"/>
    <xf numFmtId="0" fontId="9" fillId="6" borderId="12" xfId="2" applyFont="1" applyFill="1" applyBorder="1" applyAlignment="1">
      <alignment horizontal="left" vertical="center" wrapText="1"/>
    </xf>
    <xf numFmtId="0" fontId="9" fillId="6" borderId="12" xfId="2" applyFont="1" applyFill="1" applyBorder="1" applyAlignment="1">
      <alignment horizontal="left" vertical="center"/>
    </xf>
    <xf numFmtId="0" fontId="9" fillId="6" borderId="12" xfId="2" applyFont="1" applyFill="1" applyBorder="1" applyAlignment="1">
      <alignment horizontal="center" vertical="center"/>
    </xf>
    <xf numFmtId="43" fontId="9" fillId="0" borderId="12" xfId="2" applyNumberFormat="1" applyFont="1" applyFill="1" applyBorder="1" applyAlignment="1">
      <alignment vertical="center" wrapText="1"/>
    </xf>
    <xf numFmtId="43" fontId="9" fillId="6" borderId="12" xfId="2" applyNumberFormat="1" applyFont="1" applyFill="1" applyBorder="1" applyAlignment="1">
      <alignment horizontal="left" vertical="center" wrapText="1"/>
    </xf>
    <xf numFmtId="9" fontId="9" fillId="6" borderId="12" xfId="0" applyNumberFormat="1" applyFont="1" applyFill="1" applyBorder="1" applyAlignment="1">
      <alignment horizontal="left" vertical="center"/>
    </xf>
    <xf numFmtId="4" fontId="9" fillId="6" borderId="12" xfId="0" applyNumberFormat="1" applyFont="1" applyFill="1" applyBorder="1" applyAlignment="1">
      <alignment horizontal="left" vertical="center"/>
    </xf>
    <xf numFmtId="4" fontId="17" fillId="6" borderId="0" xfId="0" applyNumberFormat="1" applyFont="1" applyFill="1" applyBorder="1" applyAlignment="1">
      <alignment horizontal="left" vertical="center"/>
    </xf>
    <xf numFmtId="4" fontId="9" fillId="7" borderId="0" xfId="0" applyNumberFormat="1" applyFont="1" applyFill="1" applyBorder="1" applyAlignment="1">
      <alignment horizontal="left" vertical="center"/>
    </xf>
    <xf numFmtId="0" fontId="18" fillId="8" borderId="11" xfId="0" applyFont="1" applyFill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left" vertical="center" wrapText="1"/>
    </xf>
    <xf numFmtId="0" fontId="9" fillId="0" borderId="12" xfId="2" applyFont="1" applyFill="1" applyBorder="1" applyAlignment="1">
      <alignment horizontal="center" vertical="center" wrapText="1"/>
    </xf>
    <xf numFmtId="4" fontId="10" fillId="0" borderId="0" xfId="0" applyNumberFormat="1" applyFont="1"/>
    <xf numFmtId="4" fontId="9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4" fontId="10" fillId="6" borderId="0" xfId="0" applyNumberFormat="1" applyFont="1" applyFill="1" applyBorder="1" applyAlignment="1">
      <alignment horizontal="center" vertical="center"/>
    </xf>
    <xf numFmtId="4" fontId="10" fillId="6" borderId="0" xfId="0" applyNumberFormat="1" applyFont="1" applyFill="1" applyBorder="1" applyAlignment="1">
      <alignment horizontal="left" vertical="center"/>
    </xf>
    <xf numFmtId="4" fontId="9" fillId="3" borderId="0" xfId="0" applyNumberFormat="1" applyFont="1" applyFill="1" applyBorder="1" applyAlignment="1">
      <alignment horizontal="left" vertical="center"/>
    </xf>
    <xf numFmtId="4" fontId="10" fillId="3" borderId="0" xfId="0" applyNumberFormat="1" applyFont="1" applyFill="1"/>
    <xf numFmtId="0" fontId="9" fillId="0" borderId="0" xfId="0" applyFont="1"/>
    <xf numFmtId="0" fontId="17" fillId="0" borderId="0" xfId="0" applyFont="1"/>
    <xf numFmtId="0" fontId="9" fillId="4" borderId="0" xfId="0" applyFont="1" applyFill="1"/>
    <xf numFmtId="0" fontId="18" fillId="0" borderId="10" xfId="1" applyFont="1" applyFill="1" applyBorder="1" applyAlignment="1" applyProtection="1"/>
    <xf numFmtId="2" fontId="18" fillId="0" borderId="10" xfId="1" applyNumberFormat="1" applyFont="1" applyFill="1" applyBorder="1" applyAlignment="1" applyProtection="1"/>
    <xf numFmtId="0" fontId="9" fillId="3" borderId="0" xfId="0" applyFont="1" applyFill="1"/>
    <xf numFmtId="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8" fillId="6" borderId="11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8" fillId="8" borderId="0" xfId="0" applyFont="1" applyFill="1" applyBorder="1" applyAlignment="1">
      <alignment vertical="center" wrapText="1"/>
    </xf>
    <xf numFmtId="0" fontId="18" fillId="8" borderId="0" xfId="0" applyFont="1" applyFill="1" applyBorder="1" applyAlignment="1">
      <alignment horizontal="center" vertical="center" wrapText="1"/>
    </xf>
    <xf numFmtId="43" fontId="18" fillId="8" borderId="0" xfId="0" applyNumberFormat="1" applyFont="1" applyFill="1" applyBorder="1" applyAlignment="1">
      <alignment vertical="center" wrapText="1"/>
    </xf>
    <xf numFmtId="0" fontId="18" fillId="8" borderId="0" xfId="0" applyFont="1" applyFill="1" applyBorder="1" applyAlignment="1">
      <alignment vertical="center"/>
    </xf>
    <xf numFmtId="4" fontId="9" fillId="2" borderId="0" xfId="0" applyNumberFormat="1" applyFont="1" applyFill="1"/>
    <xf numFmtId="0" fontId="10" fillId="0" borderId="0" xfId="0" applyFont="1" applyAlignment="1">
      <alignment vertical="center"/>
    </xf>
    <xf numFmtId="0" fontId="9" fillId="0" borderId="0" xfId="0" applyFont="1" applyAlignment="1"/>
    <xf numFmtId="0" fontId="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/>
    <xf numFmtId="0" fontId="21" fillId="0" borderId="0" xfId="0" applyFont="1"/>
    <xf numFmtId="0" fontId="22" fillId="0" borderId="1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2" fontId="23" fillId="0" borderId="7" xfId="0" applyNumberFormat="1" applyFont="1" applyBorder="1" applyAlignment="1">
      <alignment horizontal="center" vertical="center" wrapText="1"/>
    </xf>
    <xf numFmtId="2" fontId="19" fillId="0" borderId="7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2" fontId="23" fillId="5" borderId="14" xfId="0" applyNumberFormat="1" applyFont="1" applyFill="1" applyBorder="1" applyAlignment="1">
      <alignment horizontal="center" vertical="center" wrapText="1"/>
    </xf>
    <xf numFmtId="2" fontId="19" fillId="5" borderId="1" xfId="0" applyNumberFormat="1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5" borderId="15" xfId="0" applyFont="1" applyFill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 wrapText="1"/>
    </xf>
    <xf numFmtId="2" fontId="19" fillId="5" borderId="15" xfId="0" applyNumberFormat="1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2" fontId="21" fillId="0" borderId="20" xfId="0" applyNumberFormat="1" applyFont="1" applyBorder="1" applyAlignment="1">
      <alignment horizontal="left" vertical="center"/>
    </xf>
    <xf numFmtId="2" fontId="20" fillId="0" borderId="11" xfId="0" applyNumberFormat="1" applyFont="1" applyBorder="1" applyAlignment="1">
      <alignment horizontal="left" vertical="center"/>
    </xf>
    <xf numFmtId="9" fontId="20" fillId="0" borderId="11" xfId="0" applyNumberFormat="1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 wrapText="1"/>
    </xf>
    <xf numFmtId="0" fontId="20" fillId="6" borderId="19" xfId="0" applyFont="1" applyFill="1" applyBorder="1" applyAlignment="1">
      <alignment horizontal="left" vertical="center" wrapText="1"/>
    </xf>
    <xf numFmtId="0" fontId="21" fillId="8" borderId="11" xfId="0" applyFont="1" applyFill="1" applyBorder="1" applyAlignment="1">
      <alignment horizontal="left" vertical="center" wrapText="1"/>
    </xf>
    <xf numFmtId="0" fontId="21" fillId="8" borderId="11" xfId="0" applyFont="1" applyFill="1" applyBorder="1" applyAlignment="1">
      <alignment horizontal="left" vertical="center"/>
    </xf>
    <xf numFmtId="9" fontId="20" fillId="6" borderId="11" xfId="0" applyNumberFormat="1" applyFont="1" applyFill="1" applyBorder="1" applyAlignment="1">
      <alignment horizontal="left" vertical="center"/>
    </xf>
    <xf numFmtId="2" fontId="20" fillId="6" borderId="11" xfId="0" applyNumberFormat="1" applyFont="1" applyFill="1" applyBorder="1" applyAlignment="1">
      <alignment horizontal="left" vertical="center"/>
    </xf>
    <xf numFmtId="0" fontId="20" fillId="6" borderId="11" xfId="0" applyFont="1" applyFill="1" applyBorder="1" applyAlignment="1">
      <alignment horizontal="left" vertical="center"/>
    </xf>
    <xf numFmtId="0" fontId="21" fillId="6" borderId="11" xfId="0" applyFont="1" applyFill="1" applyBorder="1" applyAlignment="1">
      <alignment horizontal="left" vertical="center" wrapText="1"/>
    </xf>
    <xf numFmtId="0" fontId="21" fillId="6" borderId="11" xfId="0" applyFont="1" applyFill="1" applyBorder="1" applyAlignment="1">
      <alignment horizontal="left" vertical="center"/>
    </xf>
    <xf numFmtId="2" fontId="21" fillId="6" borderId="20" xfId="0" applyNumberFormat="1" applyFont="1" applyFill="1" applyBorder="1" applyAlignment="1">
      <alignment horizontal="left" vertical="center"/>
    </xf>
    <xf numFmtId="0" fontId="20" fillId="0" borderId="11" xfId="0" applyFont="1" applyBorder="1" applyAlignment="1">
      <alignment horizontal="left" vertical="center" wrapText="1"/>
    </xf>
    <xf numFmtId="0" fontId="20" fillId="8" borderId="11" xfId="0" applyFont="1" applyFill="1" applyBorder="1" applyAlignment="1">
      <alignment horizontal="left" vertical="center" wrapText="1"/>
    </xf>
    <xf numFmtId="0" fontId="20" fillId="8" borderId="11" xfId="0" applyFont="1" applyFill="1" applyBorder="1" applyAlignment="1">
      <alignment horizontal="left" vertical="center"/>
    </xf>
    <xf numFmtId="2" fontId="20" fillId="0" borderId="20" xfId="0" applyNumberFormat="1" applyFont="1" applyBorder="1" applyAlignment="1">
      <alignment horizontal="left" vertical="center"/>
    </xf>
    <xf numFmtId="9" fontId="20" fillId="0" borderId="11" xfId="0" applyNumberFormat="1" applyFont="1" applyBorder="1" applyAlignment="1">
      <alignment horizontal="left"/>
    </xf>
    <xf numFmtId="9" fontId="20" fillId="6" borderId="11" xfId="0" applyNumberFormat="1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19" xfId="0" applyFont="1" applyBorder="1" applyAlignment="1">
      <alignment horizontal="left"/>
    </xf>
    <xf numFmtId="0" fontId="21" fillId="0" borderId="19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/>
    </xf>
    <xf numFmtId="9" fontId="21" fillId="6" borderId="11" xfId="0" applyNumberFormat="1" applyFont="1" applyFill="1" applyBorder="1" applyAlignment="1">
      <alignment horizontal="left" vertical="center"/>
    </xf>
    <xf numFmtId="2" fontId="21" fillId="0" borderId="11" xfId="0" applyNumberFormat="1" applyFont="1" applyBorder="1" applyAlignment="1">
      <alignment horizontal="left" vertical="center"/>
    </xf>
    <xf numFmtId="0" fontId="20" fillId="6" borderId="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left" wrapText="1"/>
    </xf>
    <xf numFmtId="0" fontId="21" fillId="6" borderId="19" xfId="0" applyFont="1" applyFill="1" applyBorder="1" applyAlignment="1">
      <alignment horizontal="left" vertical="center" wrapText="1"/>
    </xf>
    <xf numFmtId="0" fontId="25" fillId="8" borderId="11" xfId="0" applyFont="1" applyFill="1" applyBorder="1" applyAlignment="1">
      <alignment horizontal="left" vertical="center" wrapText="1"/>
    </xf>
    <xf numFmtId="0" fontId="25" fillId="8" borderId="11" xfId="0" applyFont="1" applyFill="1" applyBorder="1" applyAlignment="1">
      <alignment horizontal="left" vertical="center"/>
    </xf>
    <xf numFmtId="2" fontId="21" fillId="6" borderId="11" xfId="0" applyNumberFormat="1" applyFont="1" applyFill="1" applyBorder="1" applyAlignment="1">
      <alignment horizontal="left" vertical="center"/>
    </xf>
    <xf numFmtId="0" fontId="20" fillId="6" borderId="0" xfId="0" applyFont="1" applyFill="1" applyAlignment="1">
      <alignment horizontal="left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9" fontId="20" fillId="0" borderId="22" xfId="0" applyNumberFormat="1" applyFont="1" applyBorder="1" applyAlignment="1">
      <alignment horizontal="left" vertical="center"/>
    </xf>
    <xf numFmtId="0" fontId="20" fillId="6" borderId="19" xfId="0" applyFont="1" applyFill="1" applyBorder="1" applyAlignment="1">
      <alignment horizontal="left" wrapText="1"/>
    </xf>
    <xf numFmtId="0" fontId="21" fillId="6" borderId="19" xfId="0" applyFont="1" applyFill="1" applyBorder="1" applyAlignment="1">
      <alignment horizontal="left" wrapText="1"/>
    </xf>
    <xf numFmtId="9" fontId="21" fillId="6" borderId="11" xfId="0" applyNumberFormat="1" applyFont="1" applyFill="1" applyBorder="1" applyAlignment="1">
      <alignment horizontal="left"/>
    </xf>
    <xf numFmtId="0" fontId="21" fillId="0" borderId="19" xfId="0" applyFont="1" applyBorder="1" applyAlignment="1">
      <alignment horizontal="left" wrapText="1"/>
    </xf>
    <xf numFmtId="0" fontId="21" fillId="0" borderId="19" xfId="0" applyFont="1" applyBorder="1" applyAlignment="1">
      <alignment horizontal="left"/>
    </xf>
    <xf numFmtId="0" fontId="23" fillId="0" borderId="0" xfId="0" applyFont="1" applyAlignment="1">
      <alignment horizontal="center" vertical="center"/>
    </xf>
    <xf numFmtId="0" fontId="28" fillId="0" borderId="0" xfId="0" applyFont="1"/>
    <xf numFmtId="2" fontId="28" fillId="0" borderId="0" xfId="0" applyNumberFormat="1" applyFont="1"/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2" fontId="0" fillId="9" borderId="0" xfId="0" applyNumberFormat="1" applyFill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2" fontId="5" fillId="9" borderId="0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2" fontId="23" fillId="0" borderId="2" xfId="0" applyNumberFormat="1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/>
    </xf>
    <xf numFmtId="2" fontId="2" fillId="2" borderId="22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2" fontId="6" fillId="9" borderId="0" xfId="0" applyNumberFormat="1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2" fontId="23" fillId="0" borderId="5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/>
    </xf>
    <xf numFmtId="2" fontId="2" fillId="2" borderId="24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2" fontId="23" fillId="5" borderId="2" xfId="0" applyNumberFormat="1" applyFont="1" applyFill="1" applyBorder="1" applyAlignment="1">
      <alignment horizontal="center" vertical="center" wrapText="1"/>
    </xf>
    <xf numFmtId="2" fontId="23" fillId="5" borderId="1" xfId="0" applyNumberFormat="1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 wrapText="1"/>
    </xf>
    <xf numFmtId="2" fontId="6" fillId="5" borderId="16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9" fontId="20" fillId="0" borderId="11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2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30" fillId="2" borderId="25" xfId="0" applyNumberFormat="1" applyFont="1" applyFill="1" applyBorder="1" applyAlignment="1">
      <alignment wrapText="1"/>
    </xf>
    <xf numFmtId="2" fontId="23" fillId="9" borderId="0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2" fontId="24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2" fontId="31" fillId="2" borderId="25" xfId="0" applyNumberFormat="1" applyFont="1" applyFill="1" applyBorder="1" applyAlignment="1">
      <alignment wrapText="1"/>
    </xf>
    <xf numFmtId="2" fontId="19" fillId="9" borderId="0" xfId="0" applyNumberFormat="1" applyFont="1" applyFill="1" applyBorder="1" applyAlignment="1">
      <alignment horizontal="center" vertical="center"/>
    </xf>
    <xf numFmtId="0" fontId="32" fillId="0" borderId="0" xfId="0" applyFont="1"/>
    <xf numFmtId="2" fontId="32" fillId="10" borderId="11" xfId="0" applyNumberFormat="1" applyFont="1" applyFill="1" applyBorder="1" applyAlignment="1">
      <alignment horizontal="center" vertical="center"/>
    </xf>
    <xf numFmtId="2" fontId="32" fillId="0" borderId="11" xfId="0" applyNumberFormat="1" applyFont="1" applyBorder="1" applyAlignment="1">
      <alignment horizontal="center" vertical="center"/>
    </xf>
    <xf numFmtId="0" fontId="32" fillId="10" borderId="11" xfId="0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2" fontId="32" fillId="0" borderId="0" xfId="0" applyNumberFormat="1" applyFont="1"/>
    <xf numFmtId="2" fontId="0" fillId="6" borderId="11" xfId="0" applyNumberFormat="1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2" fontId="20" fillId="6" borderId="11" xfId="0" applyNumberFormat="1" applyFont="1" applyFill="1" applyBorder="1" applyAlignment="1">
      <alignment horizontal="center" vertical="center"/>
    </xf>
    <xf numFmtId="0" fontId="33" fillId="0" borderId="0" xfId="4"/>
    <xf numFmtId="0" fontId="34" fillId="0" borderId="0" xfId="0" applyFont="1"/>
    <xf numFmtId="2" fontId="30" fillId="2" borderId="26" xfId="0" applyNumberFormat="1" applyFont="1" applyFill="1" applyBorder="1" applyAlignment="1">
      <alignment horizontal="center" wrapText="1"/>
    </xf>
    <xf numFmtId="2" fontId="23" fillId="9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2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35" fillId="0" borderId="0" xfId="0" applyFont="1"/>
    <xf numFmtId="0" fontId="0" fillId="0" borderId="11" xfId="0" applyBorder="1" applyAlignment="1">
      <alignment horizontal="center" vertical="center" wrapText="1"/>
    </xf>
    <xf numFmtId="3" fontId="36" fillId="0" borderId="0" xfId="0" applyNumberFormat="1" applyFont="1" applyFill="1" applyBorder="1" applyAlignment="1">
      <alignment horizontal="left" vertical="center"/>
    </xf>
    <xf numFmtId="164" fontId="37" fillId="0" borderId="0" xfId="0" applyNumberFormat="1" applyFont="1" applyFill="1" applyBorder="1" applyAlignment="1">
      <alignment horizontal="left" vertical="center"/>
    </xf>
    <xf numFmtId="0" fontId="38" fillId="0" borderId="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2" fontId="24" fillId="2" borderId="11" xfId="0" applyNumberFormat="1" applyFont="1" applyFill="1" applyBorder="1" applyAlignment="1">
      <alignment horizontal="center" vertical="center"/>
    </xf>
    <xf numFmtId="2" fontId="27" fillId="9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2" fontId="27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1" fillId="0" borderId="11" xfId="4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/>
    </xf>
    <xf numFmtId="9" fontId="21" fillId="0" borderId="11" xfId="0" applyNumberFormat="1" applyFont="1" applyBorder="1" applyAlignment="1">
      <alignment horizontal="center" vertical="center"/>
    </xf>
    <xf numFmtId="2" fontId="40" fillId="2" borderId="11" xfId="0" applyNumberFormat="1" applyFont="1" applyFill="1" applyBorder="1" applyAlignment="1">
      <alignment horizontal="center" vertical="center"/>
    </xf>
    <xf numFmtId="0" fontId="40" fillId="2" borderId="11" xfId="0" applyFont="1" applyFill="1" applyBorder="1" applyAlignment="1">
      <alignment horizontal="center" vertical="center"/>
    </xf>
    <xf numFmtId="0" fontId="41" fillId="2" borderId="11" xfId="0" applyFont="1" applyFill="1" applyBorder="1" applyAlignment="1">
      <alignment horizontal="center" vertical="center"/>
    </xf>
    <xf numFmtId="9" fontId="24" fillId="0" borderId="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2" fontId="42" fillId="2" borderId="11" xfId="0" applyNumberFormat="1" applyFont="1" applyFill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0" fontId="43" fillId="0" borderId="0" xfId="0" applyFont="1"/>
    <xf numFmtId="0" fontId="43" fillId="0" borderId="0" xfId="0" applyFont="1" applyAlignment="1">
      <alignment horizontal="center" vertical="center"/>
    </xf>
    <xf numFmtId="2" fontId="30" fillId="2" borderId="29" xfId="0" applyNumberFormat="1" applyFont="1" applyFill="1" applyBorder="1" applyAlignment="1">
      <alignment wrapText="1"/>
    </xf>
    <xf numFmtId="0" fontId="21" fillId="0" borderId="11" xfId="0" applyFont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2" fontId="31" fillId="2" borderId="29" xfId="0" applyNumberFormat="1" applyFont="1" applyFill="1" applyBorder="1" applyAlignment="1">
      <alignment wrapText="1"/>
    </xf>
    <xf numFmtId="0" fontId="45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3" fillId="0" borderId="11" xfId="0" applyNumberFormat="1" applyFont="1" applyBorder="1" applyAlignment="1">
      <alignment horizontal="center" vertical="center"/>
    </xf>
    <xf numFmtId="0" fontId="46" fillId="0" borderId="0" xfId="0" applyFont="1"/>
    <xf numFmtId="0" fontId="47" fillId="0" borderId="0" xfId="0" applyFont="1"/>
    <xf numFmtId="0" fontId="21" fillId="0" borderId="0" xfId="0" applyNumberFormat="1" applyFont="1" applyBorder="1" applyAlignment="1">
      <alignment horizontal="center" vertical="center"/>
    </xf>
    <xf numFmtId="9" fontId="21" fillId="0" borderId="0" xfId="0" applyNumberFormat="1" applyFont="1" applyBorder="1" applyAlignment="1">
      <alignment horizontal="center" vertical="center"/>
    </xf>
    <xf numFmtId="2" fontId="48" fillId="2" borderId="29" xfId="0" applyNumberFormat="1" applyFont="1" applyFill="1" applyBorder="1" applyAlignment="1">
      <alignment wrapText="1"/>
    </xf>
    <xf numFmtId="0" fontId="0" fillId="0" borderId="0" xfId="0" applyFont="1"/>
    <xf numFmtId="0" fontId="0" fillId="0" borderId="20" xfId="0" applyFont="1" applyBorder="1" applyAlignment="1">
      <alignment horizontal="center" vertical="center"/>
    </xf>
    <xf numFmtId="2" fontId="0" fillId="0" borderId="0" xfId="0" applyNumberFormat="1" applyFont="1"/>
    <xf numFmtId="0" fontId="21" fillId="8" borderId="11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vertical="center"/>
    </xf>
    <xf numFmtId="0" fontId="21" fillId="8" borderId="11" xfId="0" applyFont="1" applyFill="1" applyBorder="1" applyAlignment="1">
      <alignment horizontal="center" vertical="center"/>
    </xf>
    <xf numFmtId="9" fontId="20" fillId="6" borderId="11" xfId="0" applyNumberFormat="1" applyFont="1" applyFill="1" applyBorder="1" applyAlignment="1">
      <alignment horizontal="center" vertical="center"/>
    </xf>
    <xf numFmtId="2" fontId="20" fillId="6" borderId="0" xfId="0" applyNumberFormat="1" applyFont="1" applyFill="1" applyBorder="1" applyAlignment="1">
      <alignment horizontal="center" vertical="center"/>
    </xf>
    <xf numFmtId="0" fontId="42" fillId="2" borderId="11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center" vertical="center"/>
    </xf>
    <xf numFmtId="2" fontId="30" fillId="6" borderId="29" xfId="0" applyNumberFormat="1" applyFont="1" applyFill="1" applyBorder="1" applyAlignment="1">
      <alignment wrapText="1"/>
    </xf>
    <xf numFmtId="2" fontId="23" fillId="6" borderId="0" xfId="0" applyNumberFormat="1" applyFont="1" applyFill="1" applyBorder="1" applyAlignment="1">
      <alignment horizontal="center" vertical="center"/>
    </xf>
    <xf numFmtId="2" fontId="0" fillId="6" borderId="11" xfId="0" applyNumberFormat="1" applyFill="1" applyBorder="1" applyAlignment="1">
      <alignment horizontal="center" vertical="center"/>
    </xf>
    <xf numFmtId="2" fontId="0" fillId="6" borderId="19" xfId="0" applyNumberFormat="1" applyFill="1" applyBorder="1" applyAlignment="1">
      <alignment horizontal="center" vertical="center"/>
    </xf>
    <xf numFmtId="0" fontId="25" fillId="6" borderId="11" xfId="0" applyFont="1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 wrapText="1"/>
    </xf>
    <xf numFmtId="2" fontId="30" fillId="6" borderId="26" xfId="0" applyNumberFormat="1" applyFont="1" applyFill="1" applyBorder="1" applyAlignment="1">
      <alignment horizontal="center" wrapText="1"/>
    </xf>
    <xf numFmtId="2" fontId="23" fillId="6" borderId="15" xfId="0" applyNumberFormat="1" applyFont="1" applyFill="1" applyBorder="1" applyAlignment="1">
      <alignment horizontal="center" vertical="center"/>
    </xf>
    <xf numFmtId="0" fontId="0" fillId="6" borderId="16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2" fontId="0" fillId="6" borderId="22" xfId="0" applyNumberFormat="1" applyFill="1" applyBorder="1" applyAlignment="1">
      <alignment horizontal="center" vertical="center"/>
    </xf>
    <xf numFmtId="2" fontId="0" fillId="6" borderId="21" xfId="0" applyNumberFormat="1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/>
    </xf>
    <xf numFmtId="0" fontId="0" fillId="6" borderId="22" xfId="0" applyFill="1" applyBorder="1" applyAlignment="1">
      <alignment horizontal="center" vertical="center" wrapText="1"/>
    </xf>
    <xf numFmtId="2" fontId="30" fillId="6" borderId="31" xfId="0" applyNumberFormat="1" applyFont="1" applyFill="1" applyBorder="1" applyAlignment="1">
      <alignment horizontal="center" wrapText="1"/>
    </xf>
    <xf numFmtId="0" fontId="0" fillId="6" borderId="0" xfId="0" applyFill="1" applyBorder="1" applyAlignment="1">
      <alignment horizontal="center"/>
    </xf>
    <xf numFmtId="0" fontId="25" fillId="6" borderId="12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 wrapText="1"/>
    </xf>
    <xf numFmtId="3" fontId="49" fillId="0" borderId="0" xfId="0" applyNumberFormat="1" applyFont="1" applyFill="1" applyBorder="1" applyAlignment="1">
      <alignment horizontal="left" vertical="center"/>
    </xf>
    <xf numFmtId="164" fontId="49" fillId="0" borderId="0" xfId="0" applyNumberFormat="1" applyFont="1" applyFill="1" applyBorder="1" applyAlignment="1">
      <alignment horizontal="left" vertical="center"/>
    </xf>
    <xf numFmtId="49" fontId="49" fillId="0" borderId="0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2" fontId="0" fillId="10" borderId="11" xfId="0" applyNumberFormat="1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 wrapText="1"/>
    </xf>
    <xf numFmtId="3" fontId="37" fillId="0" borderId="0" xfId="0" applyNumberFormat="1" applyFont="1" applyFill="1" applyBorder="1" applyAlignment="1">
      <alignment horizontal="left" vertical="center"/>
    </xf>
    <xf numFmtId="9" fontId="0" fillId="2" borderId="11" xfId="0" applyNumberForma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10" borderId="11" xfId="0" applyNumberFormat="1" applyFont="1" applyFill="1" applyBorder="1" applyAlignment="1">
      <alignment horizontal="center" vertical="center"/>
    </xf>
    <xf numFmtId="0" fontId="0" fillId="10" borderId="11" xfId="0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2" fontId="30" fillId="2" borderId="0" xfId="0" applyNumberFormat="1" applyFont="1" applyFill="1" applyBorder="1" applyAlignment="1">
      <alignment wrapText="1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35" fillId="8" borderId="32" xfId="0" applyFont="1" applyFill="1" applyBorder="1" applyAlignment="1">
      <alignment vertical="center" wrapText="1"/>
    </xf>
    <xf numFmtId="2" fontId="21" fillId="2" borderId="11" xfId="0" applyNumberFormat="1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2" fontId="19" fillId="2" borderId="0" xfId="0" applyNumberFormat="1" applyFont="1" applyFill="1" applyBorder="1" applyAlignment="1">
      <alignment wrapText="1"/>
    </xf>
    <xf numFmtId="2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2" borderId="0" xfId="0" applyFont="1" applyFill="1" applyAlignment="1">
      <alignment vertical="center" wrapText="1"/>
    </xf>
    <xf numFmtId="2" fontId="21" fillId="9" borderId="0" xfId="0" applyNumberFormat="1" applyFont="1" applyFill="1" applyAlignment="1">
      <alignment vertical="center" wrapText="1"/>
    </xf>
    <xf numFmtId="2" fontId="20" fillId="0" borderId="22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2" fontId="28" fillId="0" borderId="33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center"/>
    </xf>
  </cellXfs>
  <cellStyles count="5">
    <cellStyle name="Hiperłącze" xfId="4" builtinId="8"/>
    <cellStyle name="Normalny" xfId="0" builtinId="0"/>
    <cellStyle name="Normalny 2" xfId="2"/>
    <cellStyle name="Normalny 3" xfId="3"/>
    <cellStyle name="Normalny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sklep-chemland.pl/index.php?gdzie=487&amp;jst=produkt&amp;numer_produktu=1270" TargetMode="External"/><Relationship Id="rId2" Type="http://schemas.openxmlformats.org/officeDocument/2006/relationships/hyperlink" Target="http://sklep-chemland.pl/index.php?gdzie=487&amp;jst=produkt&amp;numer_produktu=1268" TargetMode="External"/><Relationship Id="rId1" Type="http://schemas.openxmlformats.org/officeDocument/2006/relationships/hyperlink" Target="http://sklep-chemland.pl/index.php?gdzie=487&amp;jst=produkt&amp;numer_produktu=1267" TargetMode="External"/><Relationship Id="rId6" Type="http://schemas.openxmlformats.org/officeDocument/2006/relationships/hyperlink" Target="http://sklep-chemland.pl/index.php?gdzie=440&amp;jst=produkt&amp;numer_produktu=218" TargetMode="External"/><Relationship Id="rId5" Type="http://schemas.openxmlformats.org/officeDocument/2006/relationships/hyperlink" Target="http://sklep-chemland.pl/index.php?gdzie=163&amp;jst=produkt&amp;numer_produktu=4111" TargetMode="External"/><Relationship Id="rId4" Type="http://schemas.openxmlformats.org/officeDocument/2006/relationships/hyperlink" Target="http://sklep-chemland.pl/index.php?gdzie=487&amp;jst=produkt&amp;numer_produktu=1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B434"/>
  <sheetViews>
    <sheetView tabSelected="1" workbookViewId="0">
      <selection activeCell="BO6" sqref="BO6"/>
    </sheetView>
  </sheetViews>
  <sheetFormatPr defaultRowHeight="15"/>
  <cols>
    <col min="1" max="1" width="9.5703125" customWidth="1"/>
    <col min="2" max="2" width="4.7109375" customWidth="1"/>
    <col min="3" max="3" width="28.7109375" customWidth="1"/>
    <col min="4" max="4" width="8.5703125" customWidth="1"/>
    <col min="5" max="5" width="9" customWidth="1"/>
    <col min="6" max="6" width="14.140625" customWidth="1"/>
    <col min="7" max="7" width="6.85546875" customWidth="1"/>
    <col min="8" max="8" width="9.42578125" style="2" customWidth="1"/>
    <col min="9" max="9" width="12.28515625" customWidth="1"/>
    <col min="10" max="10" width="7.7109375" customWidth="1"/>
    <col min="11" max="12" width="11.42578125" customWidth="1"/>
    <col min="13" max="15" width="11.42578125" hidden="1" customWidth="1"/>
    <col min="16" max="17" width="12.42578125" style="3" hidden="1" customWidth="1"/>
    <col min="18" max="18" width="11.42578125" style="4" hidden="1" customWidth="1"/>
    <col min="19" max="19" width="11.42578125" hidden="1" customWidth="1"/>
    <col min="20" max="20" width="11.42578125" style="5" hidden="1" customWidth="1"/>
    <col min="21" max="25" width="11.42578125" hidden="1" customWidth="1"/>
    <col min="26" max="26" width="13.7109375" style="6" hidden="1" customWidth="1"/>
    <col min="27" max="27" width="11.42578125" style="6" hidden="1" customWidth="1"/>
    <col min="28" max="29" width="11.42578125" hidden="1" customWidth="1"/>
    <col min="30" max="30" width="11.140625" hidden="1" customWidth="1"/>
    <col min="31" max="31" width="11.85546875" hidden="1" customWidth="1"/>
    <col min="32" max="34" width="9.140625" hidden="1" customWidth="1"/>
    <col min="35" max="35" width="11" style="7" hidden="1" customWidth="1"/>
    <col min="36" max="36" width="9.140625" style="8" hidden="1" customWidth="1"/>
    <col min="37" max="37" width="11.5703125" hidden="1" customWidth="1"/>
    <col min="38" max="38" width="9.140625" hidden="1" customWidth="1"/>
    <col min="39" max="39" width="20.28515625" hidden="1" customWidth="1"/>
    <col min="40" max="42" width="9.140625" hidden="1" customWidth="1"/>
    <col min="43" max="43" width="18.5703125" hidden="1" customWidth="1"/>
    <col min="44" max="48" width="9.140625" hidden="1" customWidth="1"/>
    <col min="49" max="49" width="18.5703125" hidden="1" customWidth="1"/>
    <col min="50" max="54" width="9.140625" hidden="1" customWidth="1"/>
    <col min="55" max="65" width="0" hidden="1" customWidth="1"/>
  </cols>
  <sheetData>
    <row r="4" spans="2:45" ht="15.75">
      <c r="B4" s="1" t="s">
        <v>0</v>
      </c>
      <c r="C4" s="419" t="s">
        <v>2374</v>
      </c>
      <c r="D4" s="419"/>
      <c r="E4" s="419"/>
      <c r="F4" s="419"/>
      <c r="G4" s="419"/>
      <c r="H4" s="419"/>
      <c r="I4" s="419"/>
    </row>
    <row r="5" spans="2:45" ht="15.75"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2:45" ht="16.5" thickBot="1">
      <c r="B6" s="10"/>
    </row>
    <row r="7" spans="2:45" ht="24.75" thickBot="1">
      <c r="B7" s="11" t="s">
        <v>1</v>
      </c>
      <c r="C7" s="12" t="s">
        <v>2</v>
      </c>
      <c r="D7" s="13" t="s">
        <v>2</v>
      </c>
      <c r="E7" s="14"/>
      <c r="F7" s="15" t="s">
        <v>2</v>
      </c>
      <c r="G7" s="16" t="s">
        <v>2</v>
      </c>
      <c r="H7" s="17" t="s">
        <v>2</v>
      </c>
      <c r="I7" s="18" t="s">
        <v>2</v>
      </c>
      <c r="J7" s="19" t="s">
        <v>2</v>
      </c>
      <c r="K7" s="20"/>
      <c r="L7" s="21" t="s">
        <v>2</v>
      </c>
      <c r="M7" s="22"/>
      <c r="N7" s="22"/>
      <c r="O7" s="22"/>
      <c r="P7" s="23"/>
      <c r="Q7" s="23"/>
      <c r="R7" s="22"/>
      <c r="S7" s="22"/>
      <c r="T7" s="24"/>
      <c r="U7" s="22"/>
    </row>
    <row r="8" spans="2:45" ht="30" customHeight="1" thickBot="1">
      <c r="B8" s="16" t="s">
        <v>3</v>
      </c>
      <c r="C8" s="16" t="s">
        <v>4</v>
      </c>
      <c r="D8" s="19" t="s">
        <v>5</v>
      </c>
      <c r="E8" s="20"/>
      <c r="F8" s="16" t="s">
        <v>6</v>
      </c>
      <c r="G8" s="25" t="s">
        <v>7</v>
      </c>
      <c r="H8" s="26" t="s">
        <v>8</v>
      </c>
      <c r="I8" s="27" t="s">
        <v>9</v>
      </c>
      <c r="J8" s="19" t="s">
        <v>10</v>
      </c>
      <c r="K8" s="20"/>
      <c r="L8" s="27" t="s">
        <v>11</v>
      </c>
      <c r="M8" s="22"/>
      <c r="N8" s="22"/>
      <c r="O8" s="22"/>
      <c r="P8" s="23"/>
      <c r="Q8" s="23"/>
      <c r="R8" s="22"/>
      <c r="S8" s="22"/>
      <c r="T8" s="24"/>
      <c r="U8" s="22"/>
      <c r="V8" s="28"/>
      <c r="W8" s="28"/>
      <c r="X8" s="28"/>
      <c r="Y8" s="28"/>
      <c r="Z8" s="29"/>
      <c r="AA8" s="29"/>
      <c r="AB8" s="28"/>
      <c r="AC8" s="28"/>
    </row>
    <row r="9" spans="2:45" ht="90.75" customHeight="1" thickBot="1">
      <c r="B9" s="30" t="s">
        <v>12</v>
      </c>
      <c r="C9" s="31" t="s">
        <v>13</v>
      </c>
      <c r="D9" s="31" t="s">
        <v>14</v>
      </c>
      <c r="E9" s="31" t="s">
        <v>15</v>
      </c>
      <c r="F9" s="32"/>
      <c r="G9" s="31" t="s">
        <v>16</v>
      </c>
      <c r="H9" s="33" t="s">
        <v>17</v>
      </c>
      <c r="I9" s="34" t="s">
        <v>18</v>
      </c>
      <c r="J9" s="35" t="s">
        <v>19</v>
      </c>
      <c r="K9" s="36"/>
      <c r="L9" s="37" t="s">
        <v>20</v>
      </c>
      <c r="M9" s="38" t="s">
        <v>21</v>
      </c>
      <c r="N9" s="38" t="s">
        <v>22</v>
      </c>
      <c r="O9" s="38" t="s">
        <v>23</v>
      </c>
      <c r="P9" s="39" t="s">
        <v>24</v>
      </c>
      <c r="Q9" s="39" t="s">
        <v>25</v>
      </c>
      <c r="R9" s="38" t="s">
        <v>26</v>
      </c>
      <c r="S9" s="38" t="s">
        <v>27</v>
      </c>
      <c r="T9" s="24" t="s">
        <v>28</v>
      </c>
      <c r="U9" s="38" t="s">
        <v>29</v>
      </c>
      <c r="V9" s="38" t="s">
        <v>30</v>
      </c>
      <c r="W9" s="28" t="s">
        <v>31</v>
      </c>
      <c r="X9" s="28" t="s">
        <v>32</v>
      </c>
      <c r="Y9" s="28" t="s">
        <v>33</v>
      </c>
      <c r="Z9" s="29" t="s">
        <v>34</v>
      </c>
      <c r="AA9" s="40" t="s">
        <v>35</v>
      </c>
      <c r="AB9" s="41" t="s">
        <v>36</v>
      </c>
      <c r="AC9" s="41"/>
      <c r="AF9" t="s">
        <v>37</v>
      </c>
      <c r="AG9" t="s">
        <v>38</v>
      </c>
      <c r="AH9" t="s">
        <v>23</v>
      </c>
      <c r="AI9" s="42" t="s">
        <v>39</v>
      </c>
      <c r="AJ9" s="43" t="s">
        <v>40</v>
      </c>
      <c r="AK9" t="s">
        <v>41</v>
      </c>
      <c r="AQ9" s="44" t="s">
        <v>42</v>
      </c>
      <c r="AR9" s="45" t="s">
        <v>43</v>
      </c>
      <c r="AS9" s="44" t="s">
        <v>44</v>
      </c>
    </row>
    <row r="10" spans="2:45" s="57" customFormat="1" ht="22.5">
      <c r="B10" s="46" t="s">
        <v>45</v>
      </c>
      <c r="C10" s="46" t="s">
        <v>46</v>
      </c>
      <c r="D10" s="46" t="s">
        <v>47</v>
      </c>
      <c r="E10" s="46" t="s">
        <v>48</v>
      </c>
      <c r="F10" s="46" t="s">
        <v>49</v>
      </c>
      <c r="G10" s="47">
        <v>180</v>
      </c>
      <c r="H10" s="48">
        <f>ROUND(O10*1.3,2)</f>
        <v>16.579999999999998</v>
      </c>
      <c r="I10" s="49">
        <f>H10*G10</f>
        <v>2984.3999999999996</v>
      </c>
      <c r="J10" s="50">
        <v>0.23</v>
      </c>
      <c r="K10" s="51">
        <f>L10-I10</f>
        <v>686.41199999999981</v>
      </c>
      <c r="L10" s="51">
        <f>I10+I10*J10</f>
        <v>3670.8119999999994</v>
      </c>
      <c r="M10" s="52"/>
      <c r="N10" s="53" t="s">
        <v>50</v>
      </c>
      <c r="O10" s="52">
        <v>12.75</v>
      </c>
      <c r="P10" s="54" t="s">
        <v>51</v>
      </c>
      <c r="Q10" s="54">
        <v>9.27</v>
      </c>
      <c r="R10" s="55">
        <v>66</v>
      </c>
      <c r="S10" s="54">
        <v>10</v>
      </c>
      <c r="T10" s="56">
        <f>S10*G10</f>
        <v>1800</v>
      </c>
      <c r="U10" s="52">
        <v>250</v>
      </c>
      <c r="V10" s="52">
        <v>15.6</v>
      </c>
      <c r="W10" s="52">
        <f>ROUND(AH10*1.3,2)</f>
        <v>15.6</v>
      </c>
      <c r="X10" s="52">
        <f t="shared" ref="X10:X80" si="0">W10*G10</f>
        <v>2808</v>
      </c>
      <c r="Y10" s="52"/>
      <c r="Z10" s="52">
        <v>10.08</v>
      </c>
      <c r="AA10" s="52">
        <f t="shared" ref="AA10:AA80" si="1">Z10*G10</f>
        <v>1814.4</v>
      </c>
      <c r="AB10" s="52"/>
      <c r="AC10" s="52"/>
      <c r="AE10" s="57" t="s">
        <v>52</v>
      </c>
      <c r="AH10" s="57">
        <v>12</v>
      </c>
      <c r="AI10" s="58">
        <v>154</v>
      </c>
      <c r="AK10" s="57">
        <f t="shared" ref="AK10:AK19" si="2">AH10*G10</f>
        <v>2160</v>
      </c>
      <c r="AP10" s="57">
        <v>154</v>
      </c>
      <c r="AQ10" s="59" t="s">
        <v>53</v>
      </c>
      <c r="AR10" s="60">
        <v>12</v>
      </c>
      <c r="AS10" s="60">
        <v>3000</v>
      </c>
    </row>
    <row r="11" spans="2:45" s="57" customFormat="1" ht="22.5">
      <c r="B11" s="46" t="s">
        <v>54</v>
      </c>
      <c r="C11" s="46" t="s">
        <v>55</v>
      </c>
      <c r="D11" s="46" t="s">
        <v>47</v>
      </c>
      <c r="E11" s="46" t="s">
        <v>56</v>
      </c>
      <c r="F11" s="46" t="s">
        <v>57</v>
      </c>
      <c r="G11" s="61">
        <v>5</v>
      </c>
      <c r="H11" s="48">
        <f>ROUND(O11*1.2,2)</f>
        <v>33.380000000000003</v>
      </c>
      <c r="I11" s="49">
        <f t="shared" ref="I11:I81" si="3">H11*G11</f>
        <v>166.9</v>
      </c>
      <c r="J11" s="50">
        <v>0.23</v>
      </c>
      <c r="K11" s="51">
        <f t="shared" ref="K11:K74" si="4">L11-I11</f>
        <v>38.387</v>
      </c>
      <c r="L11" s="51">
        <f t="shared" ref="L11:L81" si="5">I11+I11*J11</f>
        <v>205.28700000000001</v>
      </c>
      <c r="M11" s="52"/>
      <c r="N11" s="53" t="s">
        <v>58</v>
      </c>
      <c r="O11" s="52">
        <v>27.82</v>
      </c>
      <c r="P11" s="54" t="s">
        <v>59</v>
      </c>
      <c r="Q11" s="54"/>
      <c r="R11" s="55"/>
      <c r="S11" s="54">
        <v>27</v>
      </c>
      <c r="T11" s="56">
        <f t="shared" ref="T11:T74" si="6">S11*G11</f>
        <v>135</v>
      </c>
      <c r="U11" s="52">
        <v>5</v>
      </c>
      <c r="V11" s="52">
        <v>33.76</v>
      </c>
      <c r="W11" s="52">
        <f t="shared" ref="W11:W74" si="7">ROUND(AH11*1.3,2)</f>
        <v>33.76</v>
      </c>
      <c r="X11" s="52">
        <f t="shared" si="0"/>
        <v>168.79999999999998</v>
      </c>
      <c r="Y11" s="52"/>
      <c r="Z11" s="52">
        <v>32.18</v>
      </c>
      <c r="AA11" s="52">
        <f t="shared" si="1"/>
        <v>160.9</v>
      </c>
      <c r="AB11" s="52"/>
      <c r="AC11" s="52"/>
      <c r="AE11" s="57" t="s">
        <v>60</v>
      </c>
      <c r="AF11" s="57">
        <v>32.46</v>
      </c>
      <c r="AG11" s="62">
        <v>0.2</v>
      </c>
      <c r="AH11" s="57">
        <f>AF11*0.8</f>
        <v>25.968000000000004</v>
      </c>
      <c r="AI11" s="58">
        <v>7</v>
      </c>
      <c r="AK11" s="57">
        <f t="shared" si="2"/>
        <v>129.84000000000003</v>
      </c>
      <c r="AP11" s="57">
        <v>7</v>
      </c>
      <c r="AQ11" s="59">
        <v>0</v>
      </c>
      <c r="AR11" s="59">
        <v>0</v>
      </c>
      <c r="AS11" s="60">
        <v>0</v>
      </c>
    </row>
    <row r="12" spans="2:45" s="57" customFormat="1">
      <c r="B12" s="46" t="s">
        <v>61</v>
      </c>
      <c r="C12" s="46" t="s">
        <v>62</v>
      </c>
      <c r="D12" s="46" t="s">
        <v>47</v>
      </c>
      <c r="E12" s="46" t="s">
        <v>56</v>
      </c>
      <c r="F12" s="46" t="s">
        <v>63</v>
      </c>
      <c r="G12" s="61">
        <v>25</v>
      </c>
      <c r="H12" s="48">
        <f t="shared" ref="H12:H75" si="8">ROUND(O12*1.5,2)</f>
        <v>41.6</v>
      </c>
      <c r="I12" s="49">
        <f t="shared" si="3"/>
        <v>1040</v>
      </c>
      <c r="J12" s="50">
        <v>0.23</v>
      </c>
      <c r="K12" s="51">
        <f t="shared" si="4"/>
        <v>239.20000000000005</v>
      </c>
      <c r="L12" s="51">
        <f t="shared" si="5"/>
        <v>1279.2</v>
      </c>
      <c r="M12" s="52"/>
      <c r="N12" s="53" t="s">
        <v>50</v>
      </c>
      <c r="O12" s="52">
        <v>27.73</v>
      </c>
      <c r="P12" s="54" t="s">
        <v>64</v>
      </c>
      <c r="Q12" s="54">
        <v>36.479999999999997</v>
      </c>
      <c r="R12" s="55">
        <v>26</v>
      </c>
      <c r="S12" s="54">
        <v>30</v>
      </c>
      <c r="T12" s="56">
        <f t="shared" si="6"/>
        <v>750</v>
      </c>
      <c r="U12" s="52">
        <v>25</v>
      </c>
      <c r="V12" s="52">
        <v>30.07</v>
      </c>
      <c r="W12" s="52">
        <f t="shared" si="7"/>
        <v>30.07</v>
      </c>
      <c r="X12" s="52">
        <f t="shared" si="0"/>
        <v>751.75</v>
      </c>
      <c r="Y12" s="52"/>
      <c r="Z12" s="52">
        <v>30.88</v>
      </c>
      <c r="AA12" s="52">
        <f t="shared" si="1"/>
        <v>772</v>
      </c>
      <c r="AB12" s="52"/>
      <c r="AC12" s="52"/>
      <c r="AE12" s="57" t="s">
        <v>52</v>
      </c>
      <c r="AH12" s="57">
        <v>23.13</v>
      </c>
      <c r="AI12" s="58">
        <v>16</v>
      </c>
      <c r="AK12" s="57">
        <f t="shared" si="2"/>
        <v>578.25</v>
      </c>
      <c r="AP12" s="57">
        <v>0</v>
      </c>
      <c r="AQ12" s="59">
        <v>0</v>
      </c>
      <c r="AR12" s="59">
        <v>0</v>
      </c>
      <c r="AS12" s="60">
        <v>0</v>
      </c>
    </row>
    <row r="13" spans="2:45" s="57" customFormat="1">
      <c r="B13" s="46" t="s">
        <v>65</v>
      </c>
      <c r="C13" s="46" t="s">
        <v>66</v>
      </c>
      <c r="D13" s="46" t="s">
        <v>67</v>
      </c>
      <c r="E13" s="46" t="s">
        <v>68</v>
      </c>
      <c r="F13" s="46" t="s">
        <v>69</v>
      </c>
      <c r="G13" s="47">
        <v>10</v>
      </c>
      <c r="H13" s="48">
        <f>ROUND(O13*1.3,2)</f>
        <v>104.55</v>
      </c>
      <c r="I13" s="49">
        <f t="shared" si="3"/>
        <v>1045.5</v>
      </c>
      <c r="J13" s="50">
        <v>0.23</v>
      </c>
      <c r="K13" s="51">
        <f t="shared" si="4"/>
        <v>240.46499999999992</v>
      </c>
      <c r="L13" s="51">
        <f t="shared" si="5"/>
        <v>1285.9649999999999</v>
      </c>
      <c r="M13" s="52"/>
      <c r="N13" s="53" t="s">
        <v>50</v>
      </c>
      <c r="O13" s="52">
        <v>80.42</v>
      </c>
      <c r="P13" s="54" t="s">
        <v>64</v>
      </c>
      <c r="Q13" s="54">
        <f>38.76*2.5</f>
        <v>96.899999999999991</v>
      </c>
      <c r="R13" s="55">
        <v>8</v>
      </c>
      <c r="S13" s="54">
        <v>85</v>
      </c>
      <c r="T13" s="56">
        <f t="shared" si="6"/>
        <v>850</v>
      </c>
      <c r="U13" s="52">
        <v>20</v>
      </c>
      <c r="V13" s="52">
        <v>91</v>
      </c>
      <c r="W13" s="52">
        <f t="shared" si="7"/>
        <v>91</v>
      </c>
      <c r="X13" s="52">
        <f t="shared" si="0"/>
        <v>910</v>
      </c>
      <c r="Y13" s="52"/>
      <c r="Z13" s="52">
        <v>60</v>
      </c>
      <c r="AA13" s="52">
        <f t="shared" si="1"/>
        <v>600</v>
      </c>
      <c r="AB13" s="52"/>
      <c r="AC13" s="52"/>
      <c r="AE13" s="57" t="s">
        <v>52</v>
      </c>
      <c r="AH13" s="57">
        <v>70</v>
      </c>
      <c r="AI13" s="58">
        <v>2</v>
      </c>
      <c r="AK13" s="57">
        <f t="shared" si="2"/>
        <v>700</v>
      </c>
      <c r="AP13" s="57">
        <v>0</v>
      </c>
      <c r="AQ13" s="59" t="s">
        <v>70</v>
      </c>
      <c r="AR13" s="60">
        <v>358</v>
      </c>
      <c r="AS13" s="60">
        <v>358</v>
      </c>
    </row>
    <row r="14" spans="2:45" s="57" customFormat="1" ht="33.75">
      <c r="B14" s="46" t="s">
        <v>71</v>
      </c>
      <c r="C14" s="46" t="s">
        <v>72</v>
      </c>
      <c r="D14" s="46" t="s">
        <v>67</v>
      </c>
      <c r="E14" s="46" t="s">
        <v>73</v>
      </c>
      <c r="F14" s="46" t="s">
        <v>74</v>
      </c>
      <c r="G14" s="61">
        <v>20</v>
      </c>
      <c r="H14" s="48">
        <f>ROUND(O14*1.3,2)</f>
        <v>115.12</v>
      </c>
      <c r="I14" s="49">
        <f t="shared" si="3"/>
        <v>2302.4</v>
      </c>
      <c r="J14" s="50">
        <v>0.23</v>
      </c>
      <c r="K14" s="51">
        <f t="shared" si="4"/>
        <v>529.55200000000013</v>
      </c>
      <c r="L14" s="51">
        <f t="shared" si="5"/>
        <v>2831.9520000000002</v>
      </c>
      <c r="M14" s="52"/>
      <c r="N14" s="53" t="s">
        <v>50</v>
      </c>
      <c r="O14" s="52">
        <v>88.55</v>
      </c>
      <c r="P14" s="54" t="s">
        <v>64</v>
      </c>
      <c r="Q14" s="54">
        <f>43.7*2.5</f>
        <v>109.25</v>
      </c>
      <c r="R14" s="55">
        <v>16</v>
      </c>
      <c r="S14" s="54">
        <v>92</v>
      </c>
      <c r="T14" s="56">
        <f t="shared" si="6"/>
        <v>1840</v>
      </c>
      <c r="U14" s="52">
        <v>20</v>
      </c>
      <c r="V14" s="52">
        <v>96.01</v>
      </c>
      <c r="W14" s="52">
        <f t="shared" si="7"/>
        <v>96.01</v>
      </c>
      <c r="X14" s="52">
        <f t="shared" si="0"/>
        <v>1920.2</v>
      </c>
      <c r="Y14" s="52"/>
      <c r="Z14" s="52">
        <v>82.01</v>
      </c>
      <c r="AA14" s="52">
        <f t="shared" si="1"/>
        <v>1640.2</v>
      </c>
      <c r="AB14" s="52"/>
      <c r="AC14" s="52"/>
      <c r="AH14" s="57">
        <v>73.849999999999994</v>
      </c>
      <c r="AI14" s="58">
        <v>20</v>
      </c>
      <c r="AK14" s="57">
        <f t="shared" si="2"/>
        <v>1477</v>
      </c>
      <c r="AP14" s="57">
        <v>16</v>
      </c>
      <c r="AQ14" s="59" t="s">
        <v>75</v>
      </c>
      <c r="AR14" s="60">
        <v>23.127499999999998</v>
      </c>
      <c r="AS14" s="60">
        <v>578.1875</v>
      </c>
    </row>
    <row r="15" spans="2:45" s="57" customFormat="1">
      <c r="B15" s="46" t="s">
        <v>76</v>
      </c>
      <c r="C15" s="63" t="s">
        <v>77</v>
      </c>
      <c r="D15" s="64" t="s">
        <v>67</v>
      </c>
      <c r="E15" s="64" t="s">
        <v>68</v>
      </c>
      <c r="F15" s="64" t="s">
        <v>78</v>
      </c>
      <c r="G15" s="47">
        <v>40</v>
      </c>
      <c r="H15" s="65">
        <f>ROUND(O15*1.4,2)</f>
        <v>91</v>
      </c>
      <c r="I15" s="49">
        <f t="shared" si="3"/>
        <v>3640</v>
      </c>
      <c r="J15" s="50">
        <v>0.23</v>
      </c>
      <c r="K15" s="51">
        <f t="shared" si="4"/>
        <v>837.19999999999982</v>
      </c>
      <c r="L15" s="51">
        <f t="shared" si="5"/>
        <v>4477.2</v>
      </c>
      <c r="M15" s="52"/>
      <c r="N15" s="53" t="s">
        <v>79</v>
      </c>
      <c r="O15" s="52">
        <v>65</v>
      </c>
      <c r="P15" s="54" t="s">
        <v>80</v>
      </c>
      <c r="Q15" s="54"/>
      <c r="R15" s="55">
        <v>3</v>
      </c>
      <c r="S15" s="54">
        <f>47.18*4.5</f>
        <v>212.31</v>
      </c>
      <c r="T15" s="56">
        <f t="shared" si="6"/>
        <v>8492.4</v>
      </c>
      <c r="U15" s="52">
        <v>40</v>
      </c>
      <c r="V15" s="52">
        <v>78</v>
      </c>
      <c r="W15" s="52">
        <f>ROUND(AH15*1.2,2)</f>
        <v>78</v>
      </c>
      <c r="X15" s="52">
        <f t="shared" si="0"/>
        <v>3120</v>
      </c>
      <c r="Y15" s="52" t="s">
        <v>81</v>
      </c>
      <c r="Z15" s="52">
        <v>201</v>
      </c>
      <c r="AA15" s="52">
        <f t="shared" si="1"/>
        <v>8040</v>
      </c>
      <c r="AB15" s="57" t="s">
        <v>82</v>
      </c>
      <c r="AC15" s="52"/>
      <c r="AE15" s="57" t="s">
        <v>83</v>
      </c>
      <c r="AF15" s="57">
        <f>45.78*4.4</f>
        <v>201.43200000000002</v>
      </c>
      <c r="AH15" s="57">
        <v>65</v>
      </c>
      <c r="AI15" s="58"/>
      <c r="AK15" s="57">
        <f t="shared" si="2"/>
        <v>2600</v>
      </c>
      <c r="AP15" s="57">
        <v>2</v>
      </c>
      <c r="AQ15" s="59" t="s">
        <v>84</v>
      </c>
      <c r="AR15" s="60">
        <v>73.848500000000001</v>
      </c>
      <c r="AS15" s="60">
        <v>1107.7275</v>
      </c>
    </row>
    <row r="16" spans="2:45" s="57" customFormat="1" ht="33.75">
      <c r="B16" s="46" t="s">
        <v>85</v>
      </c>
      <c r="C16" s="46" t="s">
        <v>86</v>
      </c>
      <c r="D16" s="66" t="s">
        <v>87</v>
      </c>
      <c r="E16" s="46" t="s">
        <v>88</v>
      </c>
      <c r="F16" s="46" t="s">
        <v>89</v>
      </c>
      <c r="G16" s="67">
        <v>2</v>
      </c>
      <c r="H16" s="48">
        <f>ROUND(O16*1.2,2)</f>
        <v>392.04</v>
      </c>
      <c r="I16" s="49">
        <f t="shared" si="3"/>
        <v>784.08</v>
      </c>
      <c r="J16" s="50">
        <v>0.23</v>
      </c>
      <c r="K16" s="51">
        <f t="shared" si="4"/>
        <v>180.33839999999998</v>
      </c>
      <c r="L16" s="51">
        <f t="shared" si="5"/>
        <v>964.41840000000002</v>
      </c>
      <c r="M16" s="52" t="s">
        <v>90</v>
      </c>
      <c r="N16" s="53" t="s">
        <v>91</v>
      </c>
      <c r="O16" s="52">
        <v>326.7</v>
      </c>
      <c r="P16" s="54" t="s">
        <v>92</v>
      </c>
      <c r="Q16" s="54"/>
      <c r="R16" s="55">
        <v>1</v>
      </c>
      <c r="S16" s="54">
        <v>330</v>
      </c>
      <c r="T16" s="56">
        <f t="shared" si="6"/>
        <v>660</v>
      </c>
      <c r="U16" s="52">
        <v>2</v>
      </c>
      <c r="V16" s="52">
        <v>405.6</v>
      </c>
      <c r="W16" s="52">
        <f>ROUND(AH16*1.2,2)</f>
        <v>405.6</v>
      </c>
      <c r="X16" s="52">
        <f t="shared" si="0"/>
        <v>811.2</v>
      </c>
      <c r="Y16" s="52">
        <v>0.2</v>
      </c>
      <c r="Z16" s="52">
        <v>397.64</v>
      </c>
      <c r="AA16" s="52">
        <f t="shared" si="1"/>
        <v>795.28</v>
      </c>
      <c r="AB16" s="52"/>
      <c r="AC16" s="52"/>
      <c r="AE16" s="57" t="s">
        <v>93</v>
      </c>
      <c r="AF16" s="57">
        <v>397.65</v>
      </c>
      <c r="AH16" s="57">
        <v>338</v>
      </c>
      <c r="AI16" s="58">
        <v>2</v>
      </c>
      <c r="AK16" s="57">
        <f t="shared" si="2"/>
        <v>676</v>
      </c>
      <c r="AP16" s="57">
        <v>20</v>
      </c>
      <c r="AQ16" s="59">
        <v>0</v>
      </c>
      <c r="AR16" s="59">
        <v>0</v>
      </c>
      <c r="AS16" s="60">
        <v>0</v>
      </c>
    </row>
    <row r="17" spans="2:45" s="57" customFormat="1">
      <c r="B17" s="46" t="s">
        <v>94</v>
      </c>
      <c r="C17" s="46" t="s">
        <v>95</v>
      </c>
      <c r="D17" s="66" t="s">
        <v>87</v>
      </c>
      <c r="E17" s="46" t="s">
        <v>88</v>
      </c>
      <c r="F17" s="46" t="s">
        <v>96</v>
      </c>
      <c r="G17" s="67">
        <v>2</v>
      </c>
      <c r="H17" s="48">
        <f>ROUND(O17*1.2,2)</f>
        <v>585.29999999999995</v>
      </c>
      <c r="I17" s="49">
        <f t="shared" si="3"/>
        <v>1170.5999999999999</v>
      </c>
      <c r="J17" s="50">
        <v>0.23</v>
      </c>
      <c r="K17" s="51">
        <f t="shared" si="4"/>
        <v>269.23800000000006</v>
      </c>
      <c r="L17" s="51">
        <f t="shared" si="5"/>
        <v>1439.838</v>
      </c>
      <c r="M17" s="52"/>
      <c r="N17" s="53" t="s">
        <v>91</v>
      </c>
      <c r="O17" s="52">
        <v>487.75</v>
      </c>
      <c r="P17" s="54" t="s">
        <v>92</v>
      </c>
      <c r="Q17" s="54"/>
      <c r="R17" s="55">
        <v>6</v>
      </c>
      <c r="S17" s="54">
        <v>500</v>
      </c>
      <c r="T17" s="56">
        <f t="shared" si="6"/>
        <v>1000</v>
      </c>
      <c r="U17" s="52">
        <v>2</v>
      </c>
      <c r="V17" s="52">
        <v>538.27</v>
      </c>
      <c r="W17" s="52">
        <f>ROUND(AH17*1.2,2)</f>
        <v>538.27</v>
      </c>
      <c r="X17" s="52">
        <f t="shared" si="0"/>
        <v>1076.54</v>
      </c>
      <c r="Y17" s="52">
        <v>0.2</v>
      </c>
      <c r="Z17" s="52">
        <v>527.71</v>
      </c>
      <c r="AA17" s="52">
        <f t="shared" si="1"/>
        <v>1055.42</v>
      </c>
      <c r="AB17" s="52"/>
      <c r="AC17" s="52"/>
      <c r="AE17" s="57" t="s">
        <v>93</v>
      </c>
      <c r="AF17" s="57">
        <v>527.71</v>
      </c>
      <c r="AH17" s="57">
        <v>448.56</v>
      </c>
      <c r="AI17" s="58">
        <v>9</v>
      </c>
      <c r="AK17" s="57">
        <f t="shared" si="2"/>
        <v>897.12</v>
      </c>
      <c r="AQ17" s="59">
        <v>0</v>
      </c>
      <c r="AR17" s="59">
        <v>0</v>
      </c>
      <c r="AS17" s="60">
        <v>0</v>
      </c>
    </row>
    <row r="18" spans="2:45" s="57" customFormat="1" ht="22.5">
      <c r="B18" s="46" t="s">
        <v>97</v>
      </c>
      <c r="C18" s="46" t="s">
        <v>98</v>
      </c>
      <c r="D18" s="66" t="s">
        <v>87</v>
      </c>
      <c r="E18" s="46" t="s">
        <v>88</v>
      </c>
      <c r="F18" s="46" t="s">
        <v>99</v>
      </c>
      <c r="G18" s="67">
        <v>2</v>
      </c>
      <c r="H18" s="48">
        <f>ROUND(O18*1.2,2)</f>
        <v>542.55999999999995</v>
      </c>
      <c r="I18" s="49">
        <f t="shared" si="3"/>
        <v>1085.1199999999999</v>
      </c>
      <c r="J18" s="50">
        <v>0.23</v>
      </c>
      <c r="K18" s="51">
        <f t="shared" si="4"/>
        <v>249.57760000000007</v>
      </c>
      <c r="L18" s="51">
        <f t="shared" si="5"/>
        <v>1334.6976</v>
      </c>
      <c r="M18" s="52"/>
      <c r="N18" s="53" t="s">
        <v>91</v>
      </c>
      <c r="O18" s="52">
        <v>452.13</v>
      </c>
      <c r="P18" s="54" t="s">
        <v>92</v>
      </c>
      <c r="Q18" s="54"/>
      <c r="R18" s="55">
        <v>3</v>
      </c>
      <c r="S18" s="54">
        <v>460</v>
      </c>
      <c r="T18" s="56">
        <f t="shared" si="6"/>
        <v>920</v>
      </c>
      <c r="U18" s="52">
        <v>2</v>
      </c>
      <c r="V18" s="52">
        <v>561.32000000000005</v>
      </c>
      <c r="W18" s="52">
        <f>ROUND(AH18*1.2,2)</f>
        <v>561.32000000000005</v>
      </c>
      <c r="X18" s="52">
        <f t="shared" si="0"/>
        <v>1122.6400000000001</v>
      </c>
      <c r="Y18" s="52">
        <v>0.2</v>
      </c>
      <c r="Z18" s="52">
        <v>550.30999999999995</v>
      </c>
      <c r="AA18" s="52">
        <f t="shared" si="1"/>
        <v>1100.6199999999999</v>
      </c>
      <c r="AB18" s="52"/>
      <c r="AC18" s="52"/>
      <c r="AE18" s="57" t="s">
        <v>93</v>
      </c>
      <c r="AF18" s="57">
        <v>550.30999999999995</v>
      </c>
      <c r="AH18" s="57">
        <v>467.77</v>
      </c>
      <c r="AI18" s="58">
        <v>8</v>
      </c>
      <c r="AK18" s="57">
        <f t="shared" si="2"/>
        <v>935.54</v>
      </c>
      <c r="AQ18" s="59">
        <v>0</v>
      </c>
      <c r="AR18" s="59">
        <v>0</v>
      </c>
      <c r="AS18" s="60">
        <v>0</v>
      </c>
    </row>
    <row r="19" spans="2:45" s="57" customFormat="1">
      <c r="B19" s="46" t="s">
        <v>100</v>
      </c>
      <c r="C19" s="46" t="s">
        <v>101</v>
      </c>
      <c r="D19" s="46" t="s">
        <v>47</v>
      </c>
      <c r="E19" s="46" t="s">
        <v>56</v>
      </c>
      <c r="F19" s="64" t="s">
        <v>102</v>
      </c>
      <c r="G19" s="61">
        <v>35</v>
      </c>
      <c r="H19" s="48">
        <f t="shared" si="8"/>
        <v>19.97</v>
      </c>
      <c r="I19" s="49">
        <f t="shared" si="3"/>
        <v>698.94999999999993</v>
      </c>
      <c r="J19" s="50">
        <v>0.23</v>
      </c>
      <c r="K19" s="51">
        <f t="shared" si="4"/>
        <v>160.75850000000003</v>
      </c>
      <c r="L19" s="51">
        <f t="shared" si="5"/>
        <v>859.70849999999996</v>
      </c>
      <c r="M19" s="52" t="s">
        <v>103</v>
      </c>
      <c r="N19" s="53" t="s">
        <v>50</v>
      </c>
      <c r="O19" s="52">
        <v>13.31</v>
      </c>
      <c r="P19" s="54" t="s">
        <v>64</v>
      </c>
      <c r="Q19" s="54">
        <v>6.58</v>
      </c>
      <c r="R19" s="55">
        <v>7</v>
      </c>
      <c r="S19" s="54">
        <v>7</v>
      </c>
      <c r="T19" s="56">
        <f t="shared" si="6"/>
        <v>245</v>
      </c>
      <c r="U19" s="52">
        <v>35</v>
      </c>
      <c r="V19" s="52">
        <v>14.44</v>
      </c>
      <c r="W19" s="52">
        <f t="shared" si="7"/>
        <v>14.44</v>
      </c>
      <c r="X19" s="52">
        <f t="shared" si="0"/>
        <v>505.4</v>
      </c>
      <c r="Y19" s="52"/>
      <c r="Z19" s="52">
        <v>10.99</v>
      </c>
      <c r="AA19" s="52">
        <f t="shared" si="1"/>
        <v>384.65000000000003</v>
      </c>
      <c r="AB19" s="52"/>
      <c r="AC19" s="52"/>
      <c r="AE19" s="57" t="s">
        <v>52</v>
      </c>
      <c r="AH19" s="57">
        <v>11.11</v>
      </c>
      <c r="AI19" s="58">
        <v>7</v>
      </c>
      <c r="AK19" s="57">
        <f t="shared" si="2"/>
        <v>388.84999999999997</v>
      </c>
      <c r="AP19" s="57">
        <v>2</v>
      </c>
      <c r="AQ19" s="59">
        <v>0</v>
      </c>
      <c r="AR19" s="59">
        <v>0</v>
      </c>
      <c r="AS19" s="60">
        <v>0</v>
      </c>
    </row>
    <row r="20" spans="2:45" s="57" customFormat="1" ht="22.5">
      <c r="B20" s="46" t="s">
        <v>104</v>
      </c>
      <c r="C20" s="46" t="s">
        <v>105</v>
      </c>
      <c r="D20" s="46" t="s">
        <v>106</v>
      </c>
      <c r="E20" s="46" t="s">
        <v>107</v>
      </c>
      <c r="F20" s="64" t="s">
        <v>108</v>
      </c>
      <c r="G20" s="61">
        <v>4</v>
      </c>
      <c r="H20" s="48">
        <f>ROUND(O20*1.2,2)</f>
        <v>578.75</v>
      </c>
      <c r="I20" s="49">
        <f t="shared" si="3"/>
        <v>2315</v>
      </c>
      <c r="J20" s="50">
        <v>0.23</v>
      </c>
      <c r="K20" s="51">
        <f t="shared" si="4"/>
        <v>532.44999999999982</v>
      </c>
      <c r="L20" s="51">
        <f t="shared" si="5"/>
        <v>2847.45</v>
      </c>
      <c r="M20" s="52"/>
      <c r="N20" s="53" t="s">
        <v>91</v>
      </c>
      <c r="O20" s="52">
        <v>482.29</v>
      </c>
      <c r="P20" s="54" t="s">
        <v>109</v>
      </c>
      <c r="Q20" s="54"/>
      <c r="R20" s="55"/>
      <c r="S20" s="54">
        <v>500</v>
      </c>
      <c r="T20" s="56">
        <f t="shared" si="6"/>
        <v>2000</v>
      </c>
      <c r="U20" s="52"/>
      <c r="V20" s="52"/>
      <c r="W20" s="52"/>
      <c r="X20" s="52"/>
      <c r="Y20" s="52"/>
      <c r="Z20" s="52"/>
      <c r="AA20" s="52"/>
      <c r="AB20" s="52"/>
      <c r="AC20" s="52"/>
      <c r="AI20" s="58"/>
      <c r="AQ20" s="59"/>
      <c r="AR20" s="59"/>
      <c r="AS20" s="60"/>
    </row>
    <row r="21" spans="2:45" s="57" customFormat="1" ht="22.5">
      <c r="B21" s="46" t="s">
        <v>110</v>
      </c>
      <c r="C21" s="46" t="s">
        <v>111</v>
      </c>
      <c r="D21" s="46" t="s">
        <v>112</v>
      </c>
      <c r="E21" s="46" t="s">
        <v>56</v>
      </c>
      <c r="F21" s="46" t="s">
        <v>113</v>
      </c>
      <c r="G21" s="61">
        <v>6</v>
      </c>
      <c r="H21" s="48">
        <f t="shared" si="8"/>
        <v>51.05</v>
      </c>
      <c r="I21" s="49">
        <f t="shared" si="3"/>
        <v>306.29999999999995</v>
      </c>
      <c r="J21" s="50">
        <v>0.23</v>
      </c>
      <c r="K21" s="51">
        <f t="shared" si="4"/>
        <v>70.449000000000012</v>
      </c>
      <c r="L21" s="51">
        <f t="shared" si="5"/>
        <v>376.74899999999997</v>
      </c>
      <c r="M21" s="52"/>
      <c r="N21" s="53" t="s">
        <v>114</v>
      </c>
      <c r="O21" s="52">
        <v>34.03</v>
      </c>
      <c r="P21" s="54" t="s">
        <v>24</v>
      </c>
      <c r="Q21" s="54"/>
      <c r="R21" s="55">
        <v>6</v>
      </c>
      <c r="S21" s="54">
        <v>37</v>
      </c>
      <c r="T21" s="56">
        <f t="shared" si="6"/>
        <v>222</v>
      </c>
      <c r="U21" s="52">
        <v>6</v>
      </c>
      <c r="V21" s="52">
        <v>44.24</v>
      </c>
      <c r="W21" s="52">
        <f t="shared" si="7"/>
        <v>44.24</v>
      </c>
      <c r="X21" s="52">
        <f t="shared" si="0"/>
        <v>265.44</v>
      </c>
      <c r="Y21" s="52"/>
      <c r="Z21" s="52">
        <v>37.200000000000003</v>
      </c>
      <c r="AA21" s="52">
        <f t="shared" si="1"/>
        <v>223.20000000000002</v>
      </c>
      <c r="AB21" s="52"/>
      <c r="AC21" s="52"/>
      <c r="AE21" s="57" t="s">
        <v>115</v>
      </c>
      <c r="AF21" s="57">
        <v>44.77</v>
      </c>
      <c r="AH21" s="57">
        <v>34.03</v>
      </c>
      <c r="AI21" s="58">
        <v>4</v>
      </c>
      <c r="AJ21" s="57">
        <v>31</v>
      </c>
      <c r="AK21" s="57">
        <f>AJ21*G21</f>
        <v>186</v>
      </c>
      <c r="AP21" s="57">
        <v>9</v>
      </c>
      <c r="AQ21" s="59" t="s">
        <v>116</v>
      </c>
      <c r="AR21" s="60">
        <v>11.106999999999999</v>
      </c>
      <c r="AS21" s="60">
        <v>333.21</v>
      </c>
    </row>
    <row r="22" spans="2:45" s="57" customFormat="1" ht="22.5">
      <c r="B22" s="46" t="s">
        <v>117</v>
      </c>
      <c r="C22" s="46" t="s">
        <v>118</v>
      </c>
      <c r="D22" s="46" t="s">
        <v>112</v>
      </c>
      <c r="E22" s="46" t="s">
        <v>56</v>
      </c>
      <c r="F22" s="46" t="s">
        <v>119</v>
      </c>
      <c r="G22" s="61">
        <v>5</v>
      </c>
      <c r="H22" s="48">
        <f t="shared" si="8"/>
        <v>39.03</v>
      </c>
      <c r="I22" s="49">
        <f t="shared" si="3"/>
        <v>195.15</v>
      </c>
      <c r="J22" s="50">
        <v>0.23</v>
      </c>
      <c r="K22" s="51">
        <f t="shared" si="4"/>
        <v>44.884500000000003</v>
      </c>
      <c r="L22" s="51">
        <f t="shared" si="5"/>
        <v>240.03450000000001</v>
      </c>
      <c r="M22" s="52"/>
      <c r="N22" s="53" t="s">
        <v>114</v>
      </c>
      <c r="O22" s="52">
        <v>26.02</v>
      </c>
      <c r="P22" s="54" t="s">
        <v>24</v>
      </c>
      <c r="Q22" s="54"/>
      <c r="R22" s="55">
        <v>4</v>
      </c>
      <c r="S22" s="54">
        <v>28</v>
      </c>
      <c r="T22" s="56">
        <f t="shared" si="6"/>
        <v>140</v>
      </c>
      <c r="U22" s="52">
        <v>5</v>
      </c>
      <c r="V22" s="52">
        <v>29.92</v>
      </c>
      <c r="W22" s="52">
        <f>ROUND(AH22*1.15,2)</f>
        <v>29.92</v>
      </c>
      <c r="X22" s="52">
        <f t="shared" si="0"/>
        <v>149.60000000000002</v>
      </c>
      <c r="Y22" s="52" t="s">
        <v>120</v>
      </c>
      <c r="Z22" s="52">
        <v>37.200000000000003</v>
      </c>
      <c r="AA22" s="52">
        <f t="shared" si="1"/>
        <v>186</v>
      </c>
      <c r="AB22" s="52"/>
      <c r="AC22" s="52"/>
      <c r="AE22" s="57" t="s">
        <v>115</v>
      </c>
      <c r="AF22" s="57">
        <v>34.24</v>
      </c>
      <c r="AH22" s="57">
        <v>26.02</v>
      </c>
      <c r="AI22" s="58">
        <v>0</v>
      </c>
      <c r="AJ22" s="57">
        <v>23</v>
      </c>
      <c r="AK22" s="57">
        <f>AJ22*G22</f>
        <v>115</v>
      </c>
      <c r="AP22" s="57">
        <v>8</v>
      </c>
      <c r="AQ22" s="59">
        <v>0</v>
      </c>
      <c r="AR22" s="59">
        <v>0</v>
      </c>
      <c r="AS22" s="60">
        <v>0</v>
      </c>
    </row>
    <row r="23" spans="2:45" s="57" customFormat="1">
      <c r="B23" s="46" t="s">
        <v>121</v>
      </c>
      <c r="C23" s="46" t="s">
        <v>122</v>
      </c>
      <c r="D23" s="46" t="s">
        <v>112</v>
      </c>
      <c r="E23" s="46" t="s">
        <v>56</v>
      </c>
      <c r="F23" s="46" t="s">
        <v>123</v>
      </c>
      <c r="G23" s="61">
        <v>5</v>
      </c>
      <c r="H23" s="48">
        <f t="shared" si="8"/>
        <v>54.62</v>
      </c>
      <c r="I23" s="49">
        <f t="shared" si="3"/>
        <v>273.09999999999997</v>
      </c>
      <c r="J23" s="50">
        <v>0.23</v>
      </c>
      <c r="K23" s="51">
        <f t="shared" si="4"/>
        <v>62.812999999999988</v>
      </c>
      <c r="L23" s="51">
        <f t="shared" si="5"/>
        <v>335.91299999999995</v>
      </c>
      <c r="M23" s="52"/>
      <c r="N23" s="53" t="s">
        <v>50</v>
      </c>
      <c r="O23" s="52">
        <v>36.409999999999997</v>
      </c>
      <c r="P23" s="54" t="s">
        <v>64</v>
      </c>
      <c r="Q23" s="54">
        <v>14.93</v>
      </c>
      <c r="R23" s="55">
        <v>1</v>
      </c>
      <c r="S23" s="54">
        <v>17</v>
      </c>
      <c r="T23" s="56">
        <f t="shared" si="6"/>
        <v>85</v>
      </c>
      <c r="U23" s="52">
        <v>5</v>
      </c>
      <c r="V23" s="52">
        <v>47.37</v>
      </c>
      <c r="W23" s="52">
        <f t="shared" si="7"/>
        <v>47.37</v>
      </c>
      <c r="X23" s="52">
        <f t="shared" si="0"/>
        <v>236.85</v>
      </c>
      <c r="Y23" s="52"/>
      <c r="Z23" s="52">
        <v>37.04</v>
      </c>
      <c r="AA23" s="52">
        <f t="shared" si="1"/>
        <v>185.2</v>
      </c>
      <c r="AB23" s="52"/>
      <c r="AC23" s="52"/>
      <c r="AE23" s="57" t="s">
        <v>52</v>
      </c>
      <c r="AH23" s="57">
        <v>36.44</v>
      </c>
      <c r="AI23" s="58">
        <v>1</v>
      </c>
      <c r="AK23" s="57">
        <f t="shared" ref="AK23:AK33" si="9">AH23*G23</f>
        <v>182.2</v>
      </c>
      <c r="AP23" s="57">
        <v>7</v>
      </c>
      <c r="AQ23" s="59">
        <v>0</v>
      </c>
      <c r="AR23" s="59">
        <v>0</v>
      </c>
      <c r="AS23" s="60">
        <v>0</v>
      </c>
    </row>
    <row r="24" spans="2:45" s="57" customFormat="1">
      <c r="B24" s="46" t="s">
        <v>124</v>
      </c>
      <c r="C24" s="64" t="s">
        <v>125</v>
      </c>
      <c r="D24" s="64" t="s">
        <v>112</v>
      </c>
      <c r="E24" s="64" t="s">
        <v>56</v>
      </c>
      <c r="F24" s="64" t="s">
        <v>126</v>
      </c>
      <c r="G24" s="47">
        <v>1</v>
      </c>
      <c r="H24" s="65">
        <v>75</v>
      </c>
      <c r="I24" s="49">
        <f t="shared" si="3"/>
        <v>75</v>
      </c>
      <c r="J24" s="50">
        <v>0.23</v>
      </c>
      <c r="K24" s="51">
        <f t="shared" si="4"/>
        <v>17.25</v>
      </c>
      <c r="L24" s="51">
        <f t="shared" si="5"/>
        <v>92.25</v>
      </c>
      <c r="M24" s="52" t="s">
        <v>127</v>
      </c>
      <c r="N24" s="53" t="s">
        <v>50</v>
      </c>
      <c r="O24" s="52">
        <v>151.06</v>
      </c>
      <c r="P24" s="54" t="s">
        <v>64</v>
      </c>
      <c r="Q24" s="54">
        <v>68.400000000000006</v>
      </c>
      <c r="R24" s="55"/>
      <c r="S24" s="54">
        <v>74</v>
      </c>
      <c r="T24" s="56">
        <f t="shared" si="6"/>
        <v>74</v>
      </c>
      <c r="U24" s="52">
        <v>2</v>
      </c>
      <c r="V24" s="52">
        <v>78.66</v>
      </c>
      <c r="W24" s="52">
        <f>ROUND(AH24*1.15,2)</f>
        <v>78.66</v>
      </c>
      <c r="X24" s="52">
        <f t="shared" si="0"/>
        <v>78.66</v>
      </c>
      <c r="Y24" s="52" t="s">
        <v>120</v>
      </c>
      <c r="Z24" s="52">
        <v>201.98</v>
      </c>
      <c r="AA24" s="52">
        <f t="shared" si="1"/>
        <v>201.98</v>
      </c>
      <c r="AB24" s="57" t="s">
        <v>128</v>
      </c>
      <c r="AC24" s="52"/>
      <c r="AE24" s="57" t="s">
        <v>115</v>
      </c>
      <c r="AF24" s="57">
        <v>90</v>
      </c>
      <c r="AH24" s="57">
        <v>68.400000000000006</v>
      </c>
      <c r="AI24" s="58">
        <v>0</v>
      </c>
      <c r="AK24" s="57">
        <f t="shared" si="9"/>
        <v>68.400000000000006</v>
      </c>
      <c r="AP24" s="57">
        <v>0</v>
      </c>
      <c r="AQ24" s="59" t="s">
        <v>129</v>
      </c>
      <c r="AR24" s="60">
        <v>89</v>
      </c>
      <c r="AS24" s="60">
        <v>534</v>
      </c>
    </row>
    <row r="25" spans="2:45" s="57" customFormat="1" ht="30">
      <c r="B25" s="46" t="s">
        <v>130</v>
      </c>
      <c r="C25" s="64" t="s">
        <v>131</v>
      </c>
      <c r="D25" s="64" t="s">
        <v>132</v>
      </c>
      <c r="E25" s="64" t="s">
        <v>56</v>
      </c>
      <c r="F25" s="64" t="s">
        <v>133</v>
      </c>
      <c r="G25" s="47">
        <v>2</v>
      </c>
      <c r="H25" s="65">
        <v>60</v>
      </c>
      <c r="I25" s="49">
        <f t="shared" si="3"/>
        <v>120</v>
      </c>
      <c r="J25" s="50">
        <v>0.23</v>
      </c>
      <c r="K25" s="51">
        <f t="shared" si="4"/>
        <v>27.599999999999994</v>
      </c>
      <c r="L25" s="51">
        <f t="shared" si="5"/>
        <v>147.6</v>
      </c>
      <c r="M25" s="52" t="s">
        <v>127</v>
      </c>
      <c r="N25" s="53" t="s">
        <v>134</v>
      </c>
      <c r="O25" s="52">
        <f>69.2*4.5*0.88</f>
        <v>274.03200000000004</v>
      </c>
      <c r="P25" s="54" t="s">
        <v>24</v>
      </c>
      <c r="Q25" s="54">
        <v>57.26</v>
      </c>
      <c r="R25" s="55"/>
      <c r="S25" s="54">
        <v>290</v>
      </c>
      <c r="T25" s="56">
        <f t="shared" si="6"/>
        <v>580</v>
      </c>
      <c r="U25" s="52">
        <v>2</v>
      </c>
      <c r="V25" s="52">
        <v>62.99</v>
      </c>
      <c r="W25" s="68">
        <f>ROUND(AN25*1.1,2)</f>
        <v>62.99</v>
      </c>
      <c r="X25" s="52">
        <f t="shared" si="0"/>
        <v>125.98</v>
      </c>
      <c r="Y25" s="52" t="s">
        <v>135</v>
      </c>
      <c r="Z25" s="52">
        <v>249.67</v>
      </c>
      <c r="AA25" s="52">
        <f t="shared" si="1"/>
        <v>499.34</v>
      </c>
      <c r="AB25" s="57" t="s">
        <v>128</v>
      </c>
      <c r="AC25" s="52"/>
      <c r="AD25" s="69" t="s">
        <v>136</v>
      </c>
      <c r="AE25" s="57" t="s">
        <v>137</v>
      </c>
      <c r="AF25" s="57" t="s">
        <v>138</v>
      </c>
      <c r="AH25" s="57">
        <v>261.87</v>
      </c>
      <c r="AI25" s="58">
        <v>0</v>
      </c>
      <c r="AK25" s="57">
        <f t="shared" si="9"/>
        <v>523.74</v>
      </c>
      <c r="AM25" s="70" t="s">
        <v>139</v>
      </c>
      <c r="AN25" s="57">
        <v>57.26</v>
      </c>
      <c r="AP25" s="57">
        <v>4</v>
      </c>
      <c r="AQ25" s="59">
        <v>0</v>
      </c>
      <c r="AR25" s="59">
        <v>0</v>
      </c>
      <c r="AS25" s="60">
        <v>0</v>
      </c>
    </row>
    <row r="26" spans="2:45" s="57" customFormat="1">
      <c r="B26" s="46" t="s">
        <v>140</v>
      </c>
      <c r="C26" s="64" t="s">
        <v>141</v>
      </c>
      <c r="D26" s="64" t="s">
        <v>142</v>
      </c>
      <c r="E26" s="64" t="s">
        <v>56</v>
      </c>
      <c r="F26" s="64" t="s">
        <v>143</v>
      </c>
      <c r="G26" s="47">
        <v>2</v>
      </c>
      <c r="H26" s="65">
        <f>ROUND(O26*1.2,2)</f>
        <v>124.15</v>
      </c>
      <c r="I26" s="49">
        <f t="shared" si="3"/>
        <v>248.3</v>
      </c>
      <c r="J26" s="50">
        <v>0.23</v>
      </c>
      <c r="K26" s="51">
        <f t="shared" si="4"/>
        <v>57.10899999999998</v>
      </c>
      <c r="L26" s="51">
        <f t="shared" si="5"/>
        <v>305.40899999999999</v>
      </c>
      <c r="M26" s="52"/>
      <c r="N26" s="53" t="s">
        <v>50</v>
      </c>
      <c r="O26" s="52">
        <v>103.46</v>
      </c>
      <c r="P26" s="54" t="s">
        <v>64</v>
      </c>
      <c r="Q26" s="54"/>
      <c r="R26" s="55"/>
      <c r="S26" s="54">
        <v>113</v>
      </c>
      <c r="T26" s="56">
        <f t="shared" si="6"/>
        <v>226</v>
      </c>
      <c r="U26" s="52">
        <v>2</v>
      </c>
      <c r="V26" s="52">
        <v>104.5</v>
      </c>
      <c r="W26" s="52">
        <f>ROUND(AH26*1.1,2)</f>
        <v>104.5</v>
      </c>
      <c r="X26" s="52">
        <f t="shared" si="0"/>
        <v>209</v>
      </c>
      <c r="Y26" s="52"/>
      <c r="Z26" s="52">
        <v>114</v>
      </c>
      <c r="AA26" s="52">
        <f t="shared" si="1"/>
        <v>228</v>
      </c>
      <c r="AB26" s="52"/>
      <c r="AC26" s="52"/>
      <c r="AE26" s="57" t="s">
        <v>52</v>
      </c>
      <c r="AH26" s="57">
        <v>95</v>
      </c>
      <c r="AI26" s="58">
        <v>0</v>
      </c>
      <c r="AK26" s="57">
        <f t="shared" si="9"/>
        <v>190</v>
      </c>
      <c r="AP26" s="57">
        <v>0</v>
      </c>
      <c r="AQ26" s="59" t="s">
        <v>144</v>
      </c>
      <c r="AR26" s="60">
        <v>36.438499999999998</v>
      </c>
      <c r="AS26" s="60">
        <v>728.77</v>
      </c>
    </row>
    <row r="27" spans="2:45" s="57" customFormat="1" ht="22.5">
      <c r="B27" s="46" t="s">
        <v>145</v>
      </c>
      <c r="C27" s="64" t="s">
        <v>146</v>
      </c>
      <c r="D27" s="64" t="s">
        <v>132</v>
      </c>
      <c r="E27" s="64" t="s">
        <v>56</v>
      </c>
      <c r="F27" s="64" t="s">
        <v>147</v>
      </c>
      <c r="G27" s="47">
        <v>1</v>
      </c>
      <c r="H27" s="65">
        <f t="shared" si="8"/>
        <v>169.46</v>
      </c>
      <c r="I27" s="49">
        <f t="shared" si="3"/>
        <v>169.46</v>
      </c>
      <c r="J27" s="50">
        <v>0.23</v>
      </c>
      <c r="K27" s="51">
        <f t="shared" si="4"/>
        <v>38.975800000000021</v>
      </c>
      <c r="L27" s="51">
        <f t="shared" si="5"/>
        <v>208.43580000000003</v>
      </c>
      <c r="M27" s="52"/>
      <c r="N27" s="53" t="s">
        <v>114</v>
      </c>
      <c r="O27" s="52">
        <v>112.97</v>
      </c>
      <c r="P27" s="54" t="s">
        <v>24</v>
      </c>
      <c r="Q27" s="54"/>
      <c r="R27" s="55">
        <v>1</v>
      </c>
      <c r="S27" s="54">
        <v>120</v>
      </c>
      <c r="T27" s="56">
        <f t="shared" si="6"/>
        <v>120</v>
      </c>
      <c r="U27" s="52">
        <v>1</v>
      </c>
      <c r="V27" s="52">
        <v>135.56</v>
      </c>
      <c r="W27" s="52">
        <f>ROUND(AH27*1.2,2)</f>
        <v>135.56</v>
      </c>
      <c r="X27" s="52">
        <f t="shared" si="0"/>
        <v>135.56</v>
      </c>
      <c r="Y27" s="52"/>
      <c r="Z27" s="52">
        <v>91</v>
      </c>
      <c r="AA27" s="52">
        <f t="shared" si="1"/>
        <v>91</v>
      </c>
      <c r="AB27" s="52"/>
      <c r="AC27" s="52"/>
      <c r="AE27" s="57" t="s">
        <v>115</v>
      </c>
      <c r="AF27" s="57">
        <v>148.65</v>
      </c>
      <c r="AH27" s="57">
        <v>112.97</v>
      </c>
      <c r="AI27" s="58">
        <v>0</v>
      </c>
      <c r="AJ27" s="57">
        <v>91</v>
      </c>
      <c r="AK27" s="57">
        <f t="shared" si="9"/>
        <v>112.97</v>
      </c>
      <c r="AP27" s="57">
        <v>0</v>
      </c>
      <c r="AQ27" s="59">
        <v>0</v>
      </c>
      <c r="AR27" s="59">
        <v>0</v>
      </c>
      <c r="AS27" s="60">
        <v>0</v>
      </c>
    </row>
    <row r="28" spans="2:45" s="57" customFormat="1">
      <c r="B28" s="46" t="s">
        <v>148</v>
      </c>
      <c r="C28" s="46" t="s">
        <v>149</v>
      </c>
      <c r="D28" s="46" t="s">
        <v>112</v>
      </c>
      <c r="E28" s="46" t="s">
        <v>56</v>
      </c>
      <c r="F28" s="46" t="s">
        <v>150</v>
      </c>
      <c r="G28" s="61">
        <v>2</v>
      </c>
      <c r="H28" s="48">
        <f t="shared" si="8"/>
        <v>37.85</v>
      </c>
      <c r="I28" s="49">
        <f t="shared" si="3"/>
        <v>75.7</v>
      </c>
      <c r="J28" s="50">
        <v>0.23</v>
      </c>
      <c r="K28" s="51">
        <f t="shared" si="4"/>
        <v>17.411000000000001</v>
      </c>
      <c r="L28" s="51">
        <f t="shared" si="5"/>
        <v>93.111000000000004</v>
      </c>
      <c r="M28" s="52"/>
      <c r="N28" s="53" t="s">
        <v>50</v>
      </c>
      <c r="O28" s="52">
        <v>25.23</v>
      </c>
      <c r="P28" s="54" t="s">
        <v>64</v>
      </c>
      <c r="Q28" s="54">
        <v>27.4</v>
      </c>
      <c r="R28" s="55">
        <v>1</v>
      </c>
      <c r="S28" s="54">
        <v>28</v>
      </c>
      <c r="T28" s="56">
        <f t="shared" si="6"/>
        <v>56</v>
      </c>
      <c r="U28" s="52">
        <v>2</v>
      </c>
      <c r="V28" s="52">
        <v>33.799999999999997</v>
      </c>
      <c r="W28" s="52">
        <f t="shared" si="7"/>
        <v>33.799999999999997</v>
      </c>
      <c r="X28" s="52">
        <f t="shared" si="0"/>
        <v>67.599999999999994</v>
      </c>
      <c r="Y28" s="52"/>
      <c r="Z28" s="52">
        <v>31.73</v>
      </c>
      <c r="AA28" s="52">
        <f t="shared" si="1"/>
        <v>63.46</v>
      </c>
      <c r="AB28" s="52"/>
      <c r="AC28" s="52"/>
      <c r="AE28" s="57" t="s">
        <v>52</v>
      </c>
      <c r="AH28" s="57">
        <v>26</v>
      </c>
      <c r="AI28" s="58"/>
      <c r="AK28" s="57">
        <f t="shared" si="9"/>
        <v>52</v>
      </c>
      <c r="AP28" s="57">
        <v>1</v>
      </c>
      <c r="AQ28" s="59">
        <v>0</v>
      </c>
      <c r="AR28" s="59">
        <v>0</v>
      </c>
      <c r="AS28" s="60">
        <v>0</v>
      </c>
    </row>
    <row r="29" spans="2:45" s="57" customFormat="1" ht="22.5">
      <c r="B29" s="46" t="s">
        <v>151</v>
      </c>
      <c r="C29" s="46" t="s">
        <v>152</v>
      </c>
      <c r="D29" s="46" t="s">
        <v>112</v>
      </c>
      <c r="E29" s="46" t="s">
        <v>56</v>
      </c>
      <c r="F29" s="46" t="s">
        <v>153</v>
      </c>
      <c r="G29" s="61">
        <v>5</v>
      </c>
      <c r="H29" s="48">
        <f t="shared" si="8"/>
        <v>51.3</v>
      </c>
      <c r="I29" s="49">
        <f t="shared" si="3"/>
        <v>256.5</v>
      </c>
      <c r="J29" s="50">
        <v>0.23</v>
      </c>
      <c r="K29" s="51">
        <f t="shared" si="4"/>
        <v>58.995000000000005</v>
      </c>
      <c r="L29" s="51">
        <f t="shared" si="5"/>
        <v>315.495</v>
      </c>
      <c r="M29" s="52"/>
      <c r="N29" s="53" t="s">
        <v>114</v>
      </c>
      <c r="O29" s="52">
        <v>34.200000000000003</v>
      </c>
      <c r="P29" s="54" t="s">
        <v>24</v>
      </c>
      <c r="Q29" s="54"/>
      <c r="R29" s="55">
        <v>13</v>
      </c>
      <c r="S29" s="54">
        <v>37</v>
      </c>
      <c r="T29" s="56">
        <f t="shared" si="6"/>
        <v>185</v>
      </c>
      <c r="U29" s="52">
        <v>5</v>
      </c>
      <c r="V29" s="52">
        <v>44.46</v>
      </c>
      <c r="W29" s="52">
        <f t="shared" si="7"/>
        <v>44.46</v>
      </c>
      <c r="X29" s="52">
        <f t="shared" si="0"/>
        <v>222.3</v>
      </c>
      <c r="Y29" s="52"/>
      <c r="Z29" s="52">
        <v>31</v>
      </c>
      <c r="AA29" s="52">
        <f t="shared" si="1"/>
        <v>155</v>
      </c>
      <c r="AB29" s="52"/>
      <c r="AC29" s="52"/>
      <c r="AE29" s="57" t="s">
        <v>115</v>
      </c>
      <c r="AF29" s="57">
        <v>45</v>
      </c>
      <c r="AH29" s="57">
        <v>34.200000000000003</v>
      </c>
      <c r="AI29" s="58">
        <v>3</v>
      </c>
      <c r="AJ29" s="57">
        <v>31</v>
      </c>
      <c r="AK29" s="57">
        <f t="shared" si="9"/>
        <v>171</v>
      </c>
      <c r="AP29" s="57">
        <v>0</v>
      </c>
      <c r="AQ29" s="59">
        <v>0</v>
      </c>
      <c r="AR29" s="59">
        <v>0</v>
      </c>
      <c r="AS29" s="60">
        <v>0</v>
      </c>
    </row>
    <row r="30" spans="2:45" s="57" customFormat="1">
      <c r="B30" s="46" t="s">
        <v>154</v>
      </c>
      <c r="C30" s="46" t="s">
        <v>155</v>
      </c>
      <c r="D30" s="46" t="s">
        <v>132</v>
      </c>
      <c r="E30" s="46" t="s">
        <v>56</v>
      </c>
      <c r="F30" s="46" t="s">
        <v>156</v>
      </c>
      <c r="G30" s="61">
        <v>6</v>
      </c>
      <c r="H30" s="48">
        <f t="shared" si="8"/>
        <v>88.38</v>
      </c>
      <c r="I30" s="49">
        <f t="shared" si="3"/>
        <v>530.28</v>
      </c>
      <c r="J30" s="50">
        <v>0.23</v>
      </c>
      <c r="K30" s="51">
        <f t="shared" si="4"/>
        <v>121.96439999999996</v>
      </c>
      <c r="L30" s="51">
        <f t="shared" si="5"/>
        <v>652.24439999999993</v>
      </c>
      <c r="M30" s="52"/>
      <c r="N30" s="53" t="s">
        <v>50</v>
      </c>
      <c r="O30" s="52">
        <v>58.92</v>
      </c>
      <c r="P30" s="54" t="s">
        <v>64</v>
      </c>
      <c r="Q30" s="54">
        <v>40.869999999999997</v>
      </c>
      <c r="R30" s="55">
        <v>4</v>
      </c>
      <c r="S30" s="54">
        <v>44</v>
      </c>
      <c r="T30" s="56">
        <f t="shared" si="6"/>
        <v>264</v>
      </c>
      <c r="U30" s="52">
        <v>6</v>
      </c>
      <c r="V30" s="52">
        <v>62.4</v>
      </c>
      <c r="W30" s="52">
        <f t="shared" si="7"/>
        <v>62.4</v>
      </c>
      <c r="X30" s="52">
        <f t="shared" si="0"/>
        <v>374.4</v>
      </c>
      <c r="Y30" s="52"/>
      <c r="Z30" s="52">
        <v>45.19</v>
      </c>
      <c r="AA30" s="52">
        <f t="shared" si="1"/>
        <v>271.14</v>
      </c>
      <c r="AB30" s="52"/>
      <c r="AC30" s="52"/>
      <c r="AE30" s="57" t="s">
        <v>52</v>
      </c>
      <c r="AH30" s="57">
        <v>48</v>
      </c>
      <c r="AI30" s="58">
        <v>4</v>
      </c>
      <c r="AK30" s="57">
        <f t="shared" si="9"/>
        <v>288</v>
      </c>
      <c r="AP30" s="57">
        <v>0</v>
      </c>
      <c r="AQ30" s="59">
        <v>0</v>
      </c>
      <c r="AR30" s="59">
        <v>0</v>
      </c>
      <c r="AS30" s="60">
        <v>0</v>
      </c>
    </row>
    <row r="31" spans="2:45" s="57" customFormat="1" ht="22.5">
      <c r="B31" s="46" t="s">
        <v>157</v>
      </c>
      <c r="C31" s="46" t="s">
        <v>158</v>
      </c>
      <c r="D31" s="46" t="s">
        <v>106</v>
      </c>
      <c r="E31" s="46" t="s">
        <v>107</v>
      </c>
      <c r="F31" s="46" t="s">
        <v>159</v>
      </c>
      <c r="G31" s="61">
        <v>13</v>
      </c>
      <c r="H31" s="48">
        <f>ROUND(O31*1.3,2)</f>
        <v>31.82</v>
      </c>
      <c r="I31" s="49">
        <f t="shared" si="3"/>
        <v>413.66</v>
      </c>
      <c r="J31" s="50">
        <v>0.23</v>
      </c>
      <c r="K31" s="51">
        <f t="shared" si="4"/>
        <v>95.141799999999989</v>
      </c>
      <c r="L31" s="51">
        <f t="shared" si="5"/>
        <v>508.80180000000001</v>
      </c>
      <c r="M31" s="52" t="s">
        <v>160</v>
      </c>
      <c r="N31" s="53" t="s">
        <v>50</v>
      </c>
      <c r="O31" s="52">
        <v>24.48</v>
      </c>
      <c r="P31" s="54" t="s">
        <v>64</v>
      </c>
      <c r="Q31" s="54">
        <v>10.27</v>
      </c>
      <c r="R31" s="55">
        <v>5</v>
      </c>
      <c r="S31" s="54">
        <v>13</v>
      </c>
      <c r="T31" s="56">
        <f t="shared" si="6"/>
        <v>169</v>
      </c>
      <c r="U31" s="52">
        <v>13</v>
      </c>
      <c r="V31" s="52">
        <v>29.77</v>
      </c>
      <c r="W31" s="52">
        <f>ROUND(AH31*1.2,2)</f>
        <v>29.77</v>
      </c>
      <c r="X31" s="52">
        <f t="shared" si="0"/>
        <v>387.01</v>
      </c>
      <c r="Y31" s="52"/>
      <c r="Z31" s="52">
        <v>19.989999999999998</v>
      </c>
      <c r="AA31" s="52">
        <f t="shared" si="1"/>
        <v>259.87</v>
      </c>
      <c r="AB31" s="52"/>
      <c r="AC31" s="52"/>
      <c r="AD31" s="57" t="s">
        <v>161</v>
      </c>
      <c r="AE31" s="57" t="s">
        <v>52</v>
      </c>
      <c r="AH31" s="57">
        <v>24.81</v>
      </c>
      <c r="AI31" s="58">
        <v>5</v>
      </c>
      <c r="AK31" s="57">
        <f t="shared" si="9"/>
        <v>322.52999999999997</v>
      </c>
      <c r="AP31" s="57">
        <v>0</v>
      </c>
      <c r="AQ31" s="59">
        <v>0</v>
      </c>
      <c r="AR31" s="59">
        <v>0</v>
      </c>
      <c r="AS31" s="60">
        <v>0</v>
      </c>
    </row>
    <row r="32" spans="2:45" s="57" customFormat="1">
      <c r="B32" s="46" t="s">
        <v>162</v>
      </c>
      <c r="C32" s="46" t="s">
        <v>163</v>
      </c>
      <c r="D32" s="46" t="s">
        <v>112</v>
      </c>
      <c r="E32" s="46" t="s">
        <v>56</v>
      </c>
      <c r="F32" s="46" t="s">
        <v>164</v>
      </c>
      <c r="G32" s="61">
        <v>35</v>
      </c>
      <c r="H32" s="48">
        <f t="shared" si="8"/>
        <v>27.44</v>
      </c>
      <c r="I32" s="49">
        <f t="shared" si="3"/>
        <v>960.40000000000009</v>
      </c>
      <c r="J32" s="50">
        <v>0.23</v>
      </c>
      <c r="K32" s="51">
        <f t="shared" si="4"/>
        <v>220.89200000000005</v>
      </c>
      <c r="L32" s="51">
        <f t="shared" si="5"/>
        <v>1181.2920000000001</v>
      </c>
      <c r="M32" s="52"/>
      <c r="N32" s="53" t="s">
        <v>50</v>
      </c>
      <c r="O32" s="52">
        <v>18.29</v>
      </c>
      <c r="P32" s="54" t="s">
        <v>64</v>
      </c>
      <c r="Q32" s="54">
        <v>16.66</v>
      </c>
      <c r="R32" s="55">
        <v>6</v>
      </c>
      <c r="S32" s="54">
        <v>18</v>
      </c>
      <c r="T32" s="56">
        <f t="shared" si="6"/>
        <v>630</v>
      </c>
      <c r="U32" s="52">
        <v>35</v>
      </c>
      <c r="V32" s="52">
        <v>19.829999999999998</v>
      </c>
      <c r="W32" s="52">
        <f t="shared" si="7"/>
        <v>19.829999999999998</v>
      </c>
      <c r="X32" s="52">
        <f t="shared" si="0"/>
        <v>694.05</v>
      </c>
      <c r="Y32" s="52"/>
      <c r="Z32" s="52">
        <v>31.06</v>
      </c>
      <c r="AA32" s="52">
        <f t="shared" si="1"/>
        <v>1087.0999999999999</v>
      </c>
      <c r="AB32" s="52"/>
      <c r="AC32" s="52"/>
      <c r="AE32" s="57" t="s">
        <v>52</v>
      </c>
      <c r="AH32" s="57">
        <v>15.25</v>
      </c>
      <c r="AI32" s="58">
        <v>33</v>
      </c>
      <c r="AK32" s="57">
        <f t="shared" si="9"/>
        <v>533.75</v>
      </c>
      <c r="AP32" s="57">
        <v>0</v>
      </c>
      <c r="AQ32" s="59" t="s">
        <v>165</v>
      </c>
      <c r="AR32" s="60">
        <v>95</v>
      </c>
      <c r="AS32" s="60">
        <v>190</v>
      </c>
    </row>
    <row r="33" spans="2:45" s="57" customFormat="1">
      <c r="B33" s="46" t="s">
        <v>166</v>
      </c>
      <c r="C33" s="64" t="s">
        <v>167</v>
      </c>
      <c r="D33" s="64" t="s">
        <v>168</v>
      </c>
      <c r="E33" s="64" t="s">
        <v>56</v>
      </c>
      <c r="F33" s="64" t="s">
        <v>169</v>
      </c>
      <c r="G33" s="47">
        <v>1</v>
      </c>
      <c r="H33" s="65">
        <f>ROUND(O33*1.1,2)</f>
        <v>32.79</v>
      </c>
      <c r="I33" s="71">
        <f t="shared" si="3"/>
        <v>32.79</v>
      </c>
      <c r="J33" s="50">
        <v>0.23</v>
      </c>
      <c r="K33" s="51">
        <f t="shared" si="4"/>
        <v>7.5416999999999987</v>
      </c>
      <c r="L33" s="51">
        <f t="shared" si="5"/>
        <v>40.331699999999998</v>
      </c>
      <c r="M33" s="52"/>
      <c r="N33" s="53" t="s">
        <v>50</v>
      </c>
      <c r="O33" s="52">
        <v>29.81</v>
      </c>
      <c r="P33" s="54" t="s">
        <v>64</v>
      </c>
      <c r="Q33" s="54">
        <v>66.88</v>
      </c>
      <c r="R33" s="55"/>
      <c r="S33" s="54">
        <v>33</v>
      </c>
      <c r="T33" s="56">
        <f t="shared" si="6"/>
        <v>33</v>
      </c>
      <c r="U33" s="52">
        <v>1</v>
      </c>
      <c r="V33" s="52">
        <v>53.31</v>
      </c>
      <c r="W33" s="52">
        <f>ROUND(AH33*1.1,2)</f>
        <v>53.31</v>
      </c>
      <c r="X33" s="52">
        <f t="shared" si="0"/>
        <v>53.31</v>
      </c>
      <c r="Y33" s="52">
        <v>0.1</v>
      </c>
      <c r="Z33" s="52">
        <v>45.5</v>
      </c>
      <c r="AA33" s="52">
        <f t="shared" si="1"/>
        <v>45.5</v>
      </c>
      <c r="AB33" s="52"/>
      <c r="AC33" s="52"/>
      <c r="AE33" s="57" t="s">
        <v>52</v>
      </c>
      <c r="AH33" s="57">
        <v>48.46</v>
      </c>
      <c r="AI33" s="58">
        <v>0</v>
      </c>
      <c r="AK33" s="57">
        <f t="shared" si="9"/>
        <v>48.46</v>
      </c>
      <c r="AP33" s="57">
        <v>0</v>
      </c>
      <c r="AQ33" s="59">
        <v>0</v>
      </c>
      <c r="AR33" s="59">
        <v>0</v>
      </c>
      <c r="AS33" s="60">
        <v>0</v>
      </c>
    </row>
    <row r="34" spans="2:45" s="57" customFormat="1" ht="22.5">
      <c r="B34" s="46" t="s">
        <v>170</v>
      </c>
      <c r="C34" s="46" t="s">
        <v>171</v>
      </c>
      <c r="D34" s="46" t="s">
        <v>112</v>
      </c>
      <c r="E34" s="46" t="s">
        <v>56</v>
      </c>
      <c r="F34" s="46" t="s">
        <v>172</v>
      </c>
      <c r="G34" s="61">
        <v>2</v>
      </c>
      <c r="H34" s="48">
        <f>ROUND(O34*1.2,2)</f>
        <v>100.1</v>
      </c>
      <c r="I34" s="49">
        <f t="shared" si="3"/>
        <v>200.2</v>
      </c>
      <c r="J34" s="50">
        <v>0.23</v>
      </c>
      <c r="K34" s="51">
        <f t="shared" si="4"/>
        <v>46.045999999999992</v>
      </c>
      <c r="L34" s="51">
        <f t="shared" si="5"/>
        <v>246.24599999999998</v>
      </c>
      <c r="M34" s="52"/>
      <c r="N34" s="53" t="s">
        <v>114</v>
      </c>
      <c r="O34" s="52">
        <v>83.42</v>
      </c>
      <c r="P34" s="54"/>
      <c r="Q34" s="54"/>
      <c r="R34" s="55"/>
      <c r="S34" s="54">
        <v>90</v>
      </c>
      <c r="T34" s="56">
        <f t="shared" si="6"/>
        <v>180</v>
      </c>
      <c r="U34" s="52">
        <v>2</v>
      </c>
      <c r="V34" s="52">
        <v>108.45</v>
      </c>
      <c r="W34" s="52">
        <f t="shared" si="7"/>
        <v>108.45</v>
      </c>
      <c r="X34" s="52">
        <f t="shared" si="0"/>
        <v>216.9</v>
      </c>
      <c r="Y34" s="52"/>
      <c r="Z34" s="52">
        <v>77</v>
      </c>
      <c r="AA34" s="52">
        <f t="shared" si="1"/>
        <v>154</v>
      </c>
      <c r="AB34" s="52"/>
      <c r="AC34" s="52"/>
      <c r="AE34" s="57" t="s">
        <v>115</v>
      </c>
      <c r="AF34" s="57">
        <v>109.86</v>
      </c>
      <c r="AH34" s="57">
        <v>83.42</v>
      </c>
      <c r="AI34" s="58">
        <v>1</v>
      </c>
      <c r="AJ34" s="57">
        <v>77</v>
      </c>
      <c r="AK34" s="57">
        <f>AJ34*G34</f>
        <v>154</v>
      </c>
      <c r="AP34" s="57">
        <v>0</v>
      </c>
      <c r="AQ34" s="59" t="s">
        <v>173</v>
      </c>
      <c r="AR34" s="60">
        <v>26</v>
      </c>
      <c r="AS34" s="60">
        <v>52</v>
      </c>
    </row>
    <row r="35" spans="2:45" s="57" customFormat="1" ht="22.5">
      <c r="B35" s="46" t="s">
        <v>174</v>
      </c>
      <c r="C35" s="46" t="s">
        <v>175</v>
      </c>
      <c r="D35" s="46" t="s">
        <v>112</v>
      </c>
      <c r="E35" s="46" t="s">
        <v>56</v>
      </c>
      <c r="F35" s="64" t="s">
        <v>176</v>
      </c>
      <c r="G35" s="61">
        <v>8</v>
      </c>
      <c r="H35" s="48">
        <f>ROUND(O35*1.2,2)</f>
        <v>48.97</v>
      </c>
      <c r="I35" s="49">
        <f t="shared" si="3"/>
        <v>391.76</v>
      </c>
      <c r="J35" s="50">
        <v>0.23</v>
      </c>
      <c r="K35" s="51">
        <f t="shared" si="4"/>
        <v>90.104800000000012</v>
      </c>
      <c r="L35" s="51">
        <f t="shared" si="5"/>
        <v>481.8648</v>
      </c>
      <c r="M35" s="52" t="s">
        <v>177</v>
      </c>
      <c r="N35" s="53" t="s">
        <v>114</v>
      </c>
      <c r="O35" s="52">
        <v>40.81</v>
      </c>
      <c r="P35" s="54"/>
      <c r="Q35" s="54"/>
      <c r="R35" s="55"/>
      <c r="S35" s="54">
        <v>44</v>
      </c>
      <c r="T35" s="56">
        <f t="shared" si="6"/>
        <v>352</v>
      </c>
      <c r="U35" s="52">
        <v>8</v>
      </c>
      <c r="V35" s="52">
        <v>54.6</v>
      </c>
      <c r="W35" s="52">
        <f t="shared" si="7"/>
        <v>54.6</v>
      </c>
      <c r="X35" s="52">
        <f t="shared" si="0"/>
        <v>436.8</v>
      </c>
      <c r="Y35" s="52"/>
      <c r="Z35" s="52">
        <v>41.03</v>
      </c>
      <c r="AA35" s="52">
        <f t="shared" si="1"/>
        <v>328.24</v>
      </c>
      <c r="AB35" s="52"/>
      <c r="AC35" s="52"/>
      <c r="AE35" s="57" t="s">
        <v>52</v>
      </c>
      <c r="AH35" s="57">
        <v>42</v>
      </c>
      <c r="AI35" s="58">
        <v>5</v>
      </c>
      <c r="AK35" s="57">
        <f t="shared" ref="AK35:AK49" si="10">AH35*G35</f>
        <v>336</v>
      </c>
      <c r="AP35" s="57">
        <v>0</v>
      </c>
      <c r="AQ35" s="59">
        <v>0</v>
      </c>
      <c r="AR35" s="59">
        <v>0</v>
      </c>
      <c r="AS35" s="60">
        <v>0</v>
      </c>
    </row>
    <row r="36" spans="2:45" s="57" customFormat="1">
      <c r="B36" s="46" t="s">
        <v>178</v>
      </c>
      <c r="C36" s="46" t="s">
        <v>179</v>
      </c>
      <c r="D36" s="46" t="s">
        <v>112</v>
      </c>
      <c r="E36" s="46" t="s">
        <v>56</v>
      </c>
      <c r="F36" s="46" t="s">
        <v>180</v>
      </c>
      <c r="G36" s="61">
        <v>2</v>
      </c>
      <c r="H36" s="48">
        <f>ROUND(O36*1.1,2)</f>
        <v>69.56</v>
      </c>
      <c r="I36" s="49">
        <f t="shared" si="3"/>
        <v>139.12</v>
      </c>
      <c r="J36" s="50">
        <v>0.23</v>
      </c>
      <c r="K36" s="51">
        <f t="shared" si="4"/>
        <v>31.997600000000006</v>
      </c>
      <c r="L36" s="51">
        <f t="shared" si="5"/>
        <v>171.11760000000001</v>
      </c>
      <c r="M36" s="52"/>
      <c r="N36" s="53" t="s">
        <v>50</v>
      </c>
      <c r="O36" s="52">
        <v>63.24</v>
      </c>
      <c r="P36" s="54" t="s">
        <v>64</v>
      </c>
      <c r="Q36" s="54">
        <v>17.760000000000002</v>
      </c>
      <c r="R36" s="55"/>
      <c r="S36" s="54">
        <v>19</v>
      </c>
      <c r="T36" s="56">
        <f t="shared" si="6"/>
        <v>38</v>
      </c>
      <c r="U36" s="52">
        <v>2</v>
      </c>
      <c r="V36" s="52">
        <v>82.8</v>
      </c>
      <c r="W36" s="52">
        <f>ROUND(AH36*1.2,2)</f>
        <v>82.8</v>
      </c>
      <c r="X36" s="52">
        <f t="shared" si="0"/>
        <v>165.6</v>
      </c>
      <c r="Y36" s="52"/>
      <c r="Z36" s="52">
        <v>69</v>
      </c>
      <c r="AA36" s="52">
        <f t="shared" si="1"/>
        <v>138</v>
      </c>
      <c r="AB36" s="52"/>
      <c r="AC36" s="52"/>
      <c r="AE36" s="57" t="s">
        <v>52</v>
      </c>
      <c r="AH36" s="57">
        <v>69</v>
      </c>
      <c r="AI36" s="58">
        <v>0</v>
      </c>
      <c r="AK36" s="57">
        <f t="shared" si="10"/>
        <v>138</v>
      </c>
      <c r="AP36" s="57">
        <v>0</v>
      </c>
      <c r="AQ36" s="59" t="s">
        <v>181</v>
      </c>
      <c r="AR36" s="60">
        <v>48</v>
      </c>
      <c r="AS36" s="60">
        <v>96</v>
      </c>
    </row>
    <row r="37" spans="2:45" s="57" customFormat="1">
      <c r="B37" s="46" t="s">
        <v>182</v>
      </c>
      <c r="C37" s="46" t="s">
        <v>183</v>
      </c>
      <c r="D37" s="66" t="s">
        <v>106</v>
      </c>
      <c r="E37" s="46" t="s">
        <v>88</v>
      </c>
      <c r="F37" s="46" t="s">
        <v>184</v>
      </c>
      <c r="G37" s="67">
        <v>2</v>
      </c>
      <c r="H37" s="65">
        <f t="shared" si="8"/>
        <v>25.35</v>
      </c>
      <c r="I37" s="49">
        <f t="shared" si="3"/>
        <v>50.7</v>
      </c>
      <c r="J37" s="50">
        <v>0.08</v>
      </c>
      <c r="K37" s="51">
        <f t="shared" si="4"/>
        <v>4.0559999999999974</v>
      </c>
      <c r="L37" s="51">
        <f t="shared" si="5"/>
        <v>54.756</v>
      </c>
      <c r="M37" s="52"/>
      <c r="N37" s="53" t="s">
        <v>185</v>
      </c>
      <c r="O37" s="52">
        <v>16.899999999999999</v>
      </c>
      <c r="P37" s="54" t="s">
        <v>24</v>
      </c>
      <c r="Q37" s="54"/>
      <c r="R37" s="55">
        <v>1</v>
      </c>
      <c r="S37" s="54">
        <v>20</v>
      </c>
      <c r="T37" s="56">
        <f t="shared" si="6"/>
        <v>40</v>
      </c>
      <c r="U37" s="52">
        <v>2</v>
      </c>
      <c r="V37" s="52">
        <v>21.97</v>
      </c>
      <c r="W37" s="52">
        <f t="shared" si="7"/>
        <v>21.97</v>
      </c>
      <c r="X37" s="52">
        <f t="shared" si="0"/>
        <v>43.94</v>
      </c>
      <c r="Y37" s="52"/>
      <c r="Z37" s="52">
        <v>20.28</v>
      </c>
      <c r="AA37" s="52">
        <f t="shared" si="1"/>
        <v>40.56</v>
      </c>
      <c r="AB37" s="52"/>
      <c r="AC37" s="52"/>
      <c r="AD37" s="57" t="s">
        <v>186</v>
      </c>
      <c r="AE37" s="57" t="s">
        <v>187</v>
      </c>
      <c r="AH37" s="57">
        <v>16.899999999999999</v>
      </c>
      <c r="AI37" s="58">
        <v>2</v>
      </c>
      <c r="AK37" s="57">
        <f t="shared" si="10"/>
        <v>33.799999999999997</v>
      </c>
      <c r="AP37" s="57">
        <v>3</v>
      </c>
      <c r="AQ37" s="59" t="s">
        <v>188</v>
      </c>
      <c r="AR37" s="60">
        <v>24.8095</v>
      </c>
      <c r="AS37" s="60">
        <v>322.52350000000001</v>
      </c>
    </row>
    <row r="38" spans="2:45" s="57" customFormat="1" ht="22.5">
      <c r="B38" s="46" t="s">
        <v>189</v>
      </c>
      <c r="C38" s="64" t="s">
        <v>190</v>
      </c>
      <c r="D38" s="72" t="s">
        <v>191</v>
      </c>
      <c r="E38" s="64" t="s">
        <v>88</v>
      </c>
      <c r="F38" s="64" t="s">
        <v>192</v>
      </c>
      <c r="G38" s="73">
        <v>1</v>
      </c>
      <c r="H38" s="65">
        <f t="shared" si="8"/>
        <v>132.54</v>
      </c>
      <c r="I38" s="49">
        <f t="shared" si="3"/>
        <v>132.54</v>
      </c>
      <c r="J38" s="50">
        <v>0.23</v>
      </c>
      <c r="K38" s="51">
        <f t="shared" si="4"/>
        <v>30.484199999999987</v>
      </c>
      <c r="L38" s="51">
        <f t="shared" si="5"/>
        <v>163.02419999999998</v>
      </c>
      <c r="M38" s="52"/>
      <c r="N38" s="53" t="s">
        <v>114</v>
      </c>
      <c r="O38" s="52">
        <v>88.36</v>
      </c>
      <c r="P38" s="54" t="s">
        <v>24</v>
      </c>
      <c r="Q38" s="54"/>
      <c r="R38" s="55"/>
      <c r="S38" s="54">
        <v>95</v>
      </c>
      <c r="T38" s="56">
        <f t="shared" si="6"/>
        <v>95</v>
      </c>
      <c r="U38" s="52">
        <v>1</v>
      </c>
      <c r="V38" s="52">
        <v>106.03</v>
      </c>
      <c r="W38" s="52">
        <f>ROUND(AH38*1.2,2)</f>
        <v>106.03</v>
      </c>
      <c r="X38" s="52">
        <f t="shared" si="0"/>
        <v>106.03</v>
      </c>
      <c r="Y38" s="52"/>
      <c r="Z38" s="52">
        <v>98.4</v>
      </c>
      <c r="AA38" s="52">
        <f t="shared" si="1"/>
        <v>98.4</v>
      </c>
      <c r="AB38" s="52"/>
      <c r="AC38" s="52"/>
      <c r="AE38" s="57" t="s">
        <v>115</v>
      </c>
      <c r="AF38" s="57">
        <v>116.26</v>
      </c>
      <c r="AH38" s="57">
        <v>88.36</v>
      </c>
      <c r="AI38" s="58">
        <v>0</v>
      </c>
      <c r="AK38" s="57">
        <f t="shared" si="10"/>
        <v>88.36</v>
      </c>
      <c r="AP38" s="57">
        <v>4</v>
      </c>
      <c r="AQ38" s="59" t="s">
        <v>193</v>
      </c>
      <c r="AR38" s="60">
        <v>15.254</v>
      </c>
      <c r="AS38" s="60">
        <v>152.54</v>
      </c>
    </row>
    <row r="39" spans="2:45" s="57" customFormat="1" ht="22.5">
      <c r="B39" s="46" t="s">
        <v>194</v>
      </c>
      <c r="C39" s="64" t="s">
        <v>195</v>
      </c>
      <c r="D39" s="72" t="s">
        <v>106</v>
      </c>
      <c r="E39" s="64" t="s">
        <v>107</v>
      </c>
      <c r="F39" s="64" t="s">
        <v>196</v>
      </c>
      <c r="G39" s="73">
        <v>4</v>
      </c>
      <c r="H39" s="48">
        <f>ROUND(O39*1.2,2)</f>
        <v>443.29</v>
      </c>
      <c r="I39" s="49">
        <f t="shared" si="3"/>
        <v>1773.16</v>
      </c>
      <c r="J39" s="50">
        <v>0.23</v>
      </c>
      <c r="K39" s="51">
        <f t="shared" si="4"/>
        <v>407.82680000000005</v>
      </c>
      <c r="L39" s="51">
        <f t="shared" si="5"/>
        <v>2180.9868000000001</v>
      </c>
      <c r="M39" s="52"/>
      <c r="N39" s="53" t="s">
        <v>91</v>
      </c>
      <c r="O39" s="52">
        <v>369.41</v>
      </c>
      <c r="P39" s="54" t="s">
        <v>109</v>
      </c>
      <c r="Q39" s="54"/>
      <c r="R39" s="55"/>
      <c r="S39" s="54">
        <v>380</v>
      </c>
      <c r="T39" s="56">
        <f t="shared" si="6"/>
        <v>1520</v>
      </c>
      <c r="U39" s="52"/>
      <c r="V39" s="52"/>
      <c r="W39" s="52"/>
      <c r="X39" s="52"/>
      <c r="Y39" s="52"/>
      <c r="Z39" s="52"/>
      <c r="AA39" s="52"/>
      <c r="AB39" s="52"/>
      <c r="AC39" s="52"/>
      <c r="AI39" s="58"/>
      <c r="AQ39" s="59"/>
      <c r="AR39" s="60"/>
      <c r="AS39" s="60"/>
    </row>
    <row r="40" spans="2:45" s="57" customFormat="1" ht="22.5">
      <c r="B40" s="46" t="s">
        <v>197</v>
      </c>
      <c r="C40" s="64" t="s">
        <v>198</v>
      </c>
      <c r="D40" s="72" t="s">
        <v>106</v>
      </c>
      <c r="E40" s="64" t="s">
        <v>107</v>
      </c>
      <c r="F40" s="64" t="s">
        <v>199</v>
      </c>
      <c r="G40" s="73">
        <v>4</v>
      </c>
      <c r="H40" s="48">
        <f>ROUND(O40*1.2,2)</f>
        <v>574.63</v>
      </c>
      <c r="I40" s="49">
        <f t="shared" si="3"/>
        <v>2298.52</v>
      </c>
      <c r="J40" s="50">
        <v>0.23</v>
      </c>
      <c r="K40" s="51">
        <f t="shared" si="4"/>
        <v>528.65959999999995</v>
      </c>
      <c r="L40" s="51">
        <f t="shared" si="5"/>
        <v>2827.1795999999999</v>
      </c>
      <c r="M40" s="52"/>
      <c r="N40" s="53" t="s">
        <v>91</v>
      </c>
      <c r="O40" s="52">
        <v>478.86</v>
      </c>
      <c r="P40" s="54" t="s">
        <v>109</v>
      </c>
      <c r="Q40" s="54"/>
      <c r="R40" s="55"/>
      <c r="S40" s="54">
        <v>490</v>
      </c>
      <c r="T40" s="56">
        <f t="shared" si="6"/>
        <v>1960</v>
      </c>
      <c r="U40" s="52"/>
      <c r="V40" s="52"/>
      <c r="W40" s="52"/>
      <c r="X40" s="52"/>
      <c r="Y40" s="52"/>
      <c r="Z40" s="52"/>
      <c r="AA40" s="52"/>
      <c r="AB40" s="52"/>
      <c r="AC40" s="52"/>
      <c r="AI40" s="58"/>
      <c r="AQ40" s="59"/>
      <c r="AR40" s="60"/>
      <c r="AS40" s="60"/>
    </row>
    <row r="41" spans="2:45" s="57" customFormat="1" ht="22.5">
      <c r="B41" s="46" t="s">
        <v>200</v>
      </c>
      <c r="C41" s="64" t="s">
        <v>201</v>
      </c>
      <c r="D41" s="72" t="s">
        <v>106</v>
      </c>
      <c r="E41" s="64" t="s">
        <v>107</v>
      </c>
      <c r="F41" s="64" t="s">
        <v>202</v>
      </c>
      <c r="G41" s="73">
        <v>4</v>
      </c>
      <c r="H41" s="48">
        <f>ROUND(O41*1.2,2)</f>
        <v>660.83</v>
      </c>
      <c r="I41" s="49">
        <f t="shared" si="3"/>
        <v>2643.32</v>
      </c>
      <c r="J41" s="50">
        <v>0.23</v>
      </c>
      <c r="K41" s="51">
        <f t="shared" si="4"/>
        <v>607.96360000000004</v>
      </c>
      <c r="L41" s="51">
        <f t="shared" si="5"/>
        <v>3251.2836000000002</v>
      </c>
      <c r="M41" s="52"/>
      <c r="N41" s="53" t="s">
        <v>91</v>
      </c>
      <c r="O41" s="52">
        <v>550.69000000000005</v>
      </c>
      <c r="P41" s="54" t="s">
        <v>109</v>
      </c>
      <c r="Q41" s="54"/>
      <c r="R41" s="55"/>
      <c r="S41" s="54">
        <v>570</v>
      </c>
      <c r="T41" s="56">
        <f t="shared" si="6"/>
        <v>2280</v>
      </c>
      <c r="U41" s="52"/>
      <c r="V41" s="52"/>
      <c r="W41" s="52"/>
      <c r="X41" s="52"/>
      <c r="Y41" s="52"/>
      <c r="Z41" s="52"/>
      <c r="AA41" s="52"/>
      <c r="AB41" s="52"/>
      <c r="AC41" s="52"/>
      <c r="AI41" s="58"/>
      <c r="AQ41" s="59"/>
      <c r="AR41" s="60"/>
      <c r="AS41" s="60"/>
    </row>
    <row r="42" spans="2:45" s="57" customFormat="1">
      <c r="B42" s="46" t="s">
        <v>203</v>
      </c>
      <c r="C42" s="46" t="s">
        <v>204</v>
      </c>
      <c r="D42" s="46" t="s">
        <v>205</v>
      </c>
      <c r="E42" s="74" t="s">
        <v>107</v>
      </c>
      <c r="F42" s="46" t="s">
        <v>206</v>
      </c>
      <c r="G42" s="61">
        <v>3</v>
      </c>
      <c r="H42" s="48">
        <f>ROUND(O42*1.1,2)</f>
        <v>188.94</v>
      </c>
      <c r="I42" s="49">
        <f t="shared" si="3"/>
        <v>566.81999999999994</v>
      </c>
      <c r="J42" s="50">
        <v>0.23</v>
      </c>
      <c r="K42" s="51">
        <f t="shared" si="4"/>
        <v>130.36860000000001</v>
      </c>
      <c r="L42" s="51">
        <f t="shared" si="5"/>
        <v>697.18859999999995</v>
      </c>
      <c r="M42" s="52"/>
      <c r="N42" s="53" t="s">
        <v>50</v>
      </c>
      <c r="O42" s="52">
        <v>171.76</v>
      </c>
      <c r="P42" s="54" t="s">
        <v>64</v>
      </c>
      <c r="Q42" s="54">
        <v>230.07</v>
      </c>
      <c r="R42" s="55"/>
      <c r="S42" s="54">
        <v>185</v>
      </c>
      <c r="T42" s="56">
        <f t="shared" si="6"/>
        <v>555</v>
      </c>
      <c r="U42" s="52">
        <v>3</v>
      </c>
      <c r="V42" s="52">
        <v>180.7</v>
      </c>
      <c r="W42" s="52">
        <f t="shared" si="7"/>
        <v>180.7</v>
      </c>
      <c r="X42" s="52">
        <f t="shared" si="0"/>
        <v>542.09999999999991</v>
      </c>
      <c r="Y42" s="52"/>
      <c r="Z42" s="52">
        <v>145.75</v>
      </c>
      <c r="AA42" s="52">
        <f t="shared" si="1"/>
        <v>437.25</v>
      </c>
      <c r="AB42" s="52"/>
      <c r="AC42" s="52"/>
      <c r="AE42" s="57" t="s">
        <v>52</v>
      </c>
      <c r="AH42" s="57">
        <v>139</v>
      </c>
      <c r="AI42" s="58">
        <v>1</v>
      </c>
      <c r="AK42" s="57">
        <f t="shared" si="10"/>
        <v>417</v>
      </c>
      <c r="AP42" s="57">
        <v>5</v>
      </c>
      <c r="AQ42" s="59">
        <v>0</v>
      </c>
      <c r="AR42" s="59">
        <v>0</v>
      </c>
      <c r="AS42" s="60">
        <v>0</v>
      </c>
    </row>
    <row r="43" spans="2:45" s="57" customFormat="1">
      <c r="B43" s="46" t="s">
        <v>207</v>
      </c>
      <c r="C43" s="46" t="s">
        <v>208</v>
      </c>
      <c r="D43" s="46" t="s">
        <v>132</v>
      </c>
      <c r="E43" s="46" t="s">
        <v>56</v>
      </c>
      <c r="F43" s="46" t="s">
        <v>209</v>
      </c>
      <c r="G43" s="61">
        <v>1</v>
      </c>
      <c r="H43" s="48">
        <f>ROUND(O43*1.1,2)</f>
        <v>39.99</v>
      </c>
      <c r="I43" s="49">
        <f t="shared" si="3"/>
        <v>39.99</v>
      </c>
      <c r="J43" s="50">
        <v>0.23</v>
      </c>
      <c r="K43" s="51">
        <f t="shared" si="4"/>
        <v>9.1977000000000046</v>
      </c>
      <c r="L43" s="51">
        <f t="shared" si="5"/>
        <v>49.187700000000007</v>
      </c>
      <c r="M43" s="52"/>
      <c r="N43" s="53" t="s">
        <v>50</v>
      </c>
      <c r="O43" s="52">
        <v>36.35</v>
      </c>
      <c r="P43" s="54" t="s">
        <v>64</v>
      </c>
      <c r="Q43" s="54">
        <v>36.200000000000003</v>
      </c>
      <c r="R43" s="55"/>
      <c r="S43" s="54">
        <v>39</v>
      </c>
      <c r="T43" s="56">
        <f t="shared" si="6"/>
        <v>39</v>
      </c>
      <c r="U43" s="52">
        <v>1</v>
      </c>
      <c r="V43" s="52">
        <v>60</v>
      </c>
      <c r="W43" s="52">
        <f>ROUND(AH43*1.2,2)</f>
        <v>60</v>
      </c>
      <c r="X43" s="52">
        <f t="shared" si="0"/>
        <v>60</v>
      </c>
      <c r="Y43" s="52"/>
      <c r="Z43" s="52">
        <v>63.65</v>
      </c>
      <c r="AA43" s="52">
        <f t="shared" si="1"/>
        <v>63.65</v>
      </c>
      <c r="AB43" s="52"/>
      <c r="AC43" s="52"/>
      <c r="AE43" s="57" t="s">
        <v>52</v>
      </c>
      <c r="AH43" s="57">
        <v>50</v>
      </c>
      <c r="AI43" s="58">
        <v>0</v>
      </c>
      <c r="AK43" s="57">
        <f t="shared" si="10"/>
        <v>50</v>
      </c>
      <c r="AP43" s="57">
        <v>33</v>
      </c>
      <c r="AQ43" s="59">
        <v>0</v>
      </c>
      <c r="AR43" s="59">
        <v>0</v>
      </c>
      <c r="AS43" s="60">
        <v>0</v>
      </c>
    </row>
    <row r="44" spans="2:45" s="57" customFormat="1">
      <c r="B44" s="46" t="s">
        <v>210</v>
      </c>
      <c r="C44" s="46" t="s">
        <v>211</v>
      </c>
      <c r="D44" s="46" t="s">
        <v>112</v>
      </c>
      <c r="E44" s="46" t="s">
        <v>56</v>
      </c>
      <c r="F44" s="46" t="s">
        <v>212</v>
      </c>
      <c r="G44" s="61">
        <v>6</v>
      </c>
      <c r="H44" s="48">
        <f t="shared" si="8"/>
        <v>149.69</v>
      </c>
      <c r="I44" s="49">
        <f t="shared" si="3"/>
        <v>898.14</v>
      </c>
      <c r="J44" s="50">
        <v>0.23</v>
      </c>
      <c r="K44" s="51">
        <f t="shared" si="4"/>
        <v>206.57219999999995</v>
      </c>
      <c r="L44" s="51">
        <f t="shared" si="5"/>
        <v>1104.7121999999999</v>
      </c>
      <c r="M44" s="52"/>
      <c r="N44" s="53" t="s">
        <v>50</v>
      </c>
      <c r="O44" s="52">
        <v>99.79</v>
      </c>
      <c r="P44" s="54" t="s">
        <v>24</v>
      </c>
      <c r="Q44" s="54">
        <v>34.880000000000003</v>
      </c>
      <c r="R44" s="55">
        <v>5</v>
      </c>
      <c r="S44" s="54">
        <v>38</v>
      </c>
      <c r="T44" s="56">
        <f t="shared" si="6"/>
        <v>228</v>
      </c>
      <c r="U44" s="52">
        <v>6</v>
      </c>
      <c r="V44" s="52">
        <v>70.2</v>
      </c>
      <c r="W44" s="52">
        <f t="shared" si="7"/>
        <v>70.2</v>
      </c>
      <c r="X44" s="52">
        <f t="shared" si="0"/>
        <v>421.20000000000005</v>
      </c>
      <c r="Y44" s="52"/>
      <c r="Z44" s="52">
        <v>54</v>
      </c>
      <c r="AA44" s="52">
        <f t="shared" si="1"/>
        <v>324</v>
      </c>
      <c r="AB44" s="52"/>
      <c r="AC44" s="52"/>
      <c r="AE44" s="57" t="s">
        <v>52</v>
      </c>
      <c r="AH44" s="57">
        <v>54</v>
      </c>
      <c r="AI44" s="58">
        <v>4</v>
      </c>
      <c r="AK44" s="57">
        <f t="shared" si="10"/>
        <v>324</v>
      </c>
      <c r="AP44" s="57">
        <v>0</v>
      </c>
      <c r="AQ44" s="59" t="s">
        <v>213</v>
      </c>
      <c r="AR44" s="60">
        <v>42</v>
      </c>
      <c r="AS44" s="60">
        <v>840</v>
      </c>
    </row>
    <row r="45" spans="2:45" s="57" customFormat="1" ht="22.5">
      <c r="B45" s="46" t="s">
        <v>214</v>
      </c>
      <c r="C45" s="64" t="s">
        <v>215</v>
      </c>
      <c r="D45" s="72" t="s">
        <v>87</v>
      </c>
      <c r="E45" s="64" t="s">
        <v>88</v>
      </c>
      <c r="F45" s="64" t="s">
        <v>216</v>
      </c>
      <c r="G45" s="73">
        <v>1</v>
      </c>
      <c r="H45" s="48">
        <f>ROUND(O45*1.02,2)</f>
        <v>191.53</v>
      </c>
      <c r="I45" s="49">
        <f t="shared" si="3"/>
        <v>191.53</v>
      </c>
      <c r="J45" s="50">
        <v>0.23</v>
      </c>
      <c r="K45" s="51">
        <f t="shared" si="4"/>
        <v>44.051900000000018</v>
      </c>
      <c r="L45" s="51">
        <f t="shared" si="5"/>
        <v>235.58190000000002</v>
      </c>
      <c r="M45" s="52"/>
      <c r="N45" s="53" t="s">
        <v>114</v>
      </c>
      <c r="O45" s="52">
        <v>187.77</v>
      </c>
      <c r="P45" s="54" t="s">
        <v>24</v>
      </c>
      <c r="Q45" s="54"/>
      <c r="R45" s="55"/>
      <c r="S45" s="54">
        <v>200</v>
      </c>
      <c r="T45" s="56">
        <f t="shared" si="6"/>
        <v>200</v>
      </c>
      <c r="U45" s="52">
        <v>1</v>
      </c>
      <c r="V45" s="52">
        <v>225.32</v>
      </c>
      <c r="W45" s="52">
        <f>ROUND(AH45*1.2,2)</f>
        <v>225.32</v>
      </c>
      <c r="X45" s="52">
        <f t="shared" si="0"/>
        <v>225.32</v>
      </c>
      <c r="Y45" s="52"/>
      <c r="Z45" s="52">
        <v>214.8</v>
      </c>
      <c r="AA45" s="52">
        <f t="shared" si="1"/>
        <v>214.8</v>
      </c>
      <c r="AB45" s="52"/>
      <c r="AC45" s="52"/>
      <c r="AE45" s="57" t="s">
        <v>115</v>
      </c>
      <c r="AF45" s="57">
        <v>247.06</v>
      </c>
      <c r="AH45" s="57">
        <v>187.77</v>
      </c>
      <c r="AI45" s="58">
        <v>0</v>
      </c>
      <c r="AK45" s="57">
        <f t="shared" si="10"/>
        <v>187.77</v>
      </c>
      <c r="AP45" s="57">
        <v>1</v>
      </c>
      <c r="AQ45" s="59" t="s">
        <v>217</v>
      </c>
      <c r="AR45" s="60">
        <v>69</v>
      </c>
      <c r="AS45" s="60">
        <v>345</v>
      </c>
    </row>
    <row r="46" spans="2:45" s="57" customFormat="1" ht="22.5">
      <c r="B46" s="46" t="s">
        <v>218</v>
      </c>
      <c r="C46" s="64" t="s">
        <v>219</v>
      </c>
      <c r="D46" s="72" t="s">
        <v>87</v>
      </c>
      <c r="E46" s="64" t="s">
        <v>56</v>
      </c>
      <c r="F46" s="64" t="s">
        <v>220</v>
      </c>
      <c r="G46" s="73">
        <v>10</v>
      </c>
      <c r="H46" s="65">
        <v>79</v>
      </c>
      <c r="I46" s="49">
        <f t="shared" si="3"/>
        <v>790</v>
      </c>
      <c r="J46" s="50">
        <v>0.23</v>
      </c>
      <c r="K46" s="51">
        <f t="shared" si="4"/>
        <v>181.70000000000005</v>
      </c>
      <c r="L46" s="51">
        <f t="shared" si="5"/>
        <v>971.7</v>
      </c>
      <c r="M46" s="52" t="s">
        <v>221</v>
      </c>
      <c r="N46" s="53" t="s">
        <v>114</v>
      </c>
      <c r="O46" s="52">
        <v>122.34</v>
      </c>
      <c r="P46" s="54" t="s">
        <v>24</v>
      </c>
      <c r="Q46" s="54"/>
      <c r="R46" s="55"/>
      <c r="S46" s="54">
        <v>135</v>
      </c>
      <c r="T46" s="56">
        <f t="shared" si="6"/>
        <v>1350</v>
      </c>
      <c r="U46" s="52"/>
      <c r="V46" s="52"/>
      <c r="W46" s="52"/>
      <c r="X46" s="52"/>
      <c r="Y46" s="52"/>
      <c r="Z46" s="52"/>
      <c r="AA46" s="52"/>
      <c r="AB46" s="52"/>
      <c r="AC46" s="52"/>
      <c r="AI46" s="58"/>
      <c r="AQ46" s="59"/>
      <c r="AR46" s="60"/>
      <c r="AS46" s="60"/>
    </row>
    <row r="47" spans="2:45" s="57" customFormat="1" ht="22.5">
      <c r="B47" s="46" t="s">
        <v>222</v>
      </c>
      <c r="C47" s="46" t="s">
        <v>223</v>
      </c>
      <c r="D47" s="46" t="s">
        <v>47</v>
      </c>
      <c r="E47" s="46" t="s">
        <v>56</v>
      </c>
      <c r="F47" s="46" t="s">
        <v>224</v>
      </c>
      <c r="G47" s="61">
        <v>3</v>
      </c>
      <c r="H47" s="48">
        <f t="shared" si="8"/>
        <v>23.94</v>
      </c>
      <c r="I47" s="49">
        <f t="shared" si="3"/>
        <v>71.820000000000007</v>
      </c>
      <c r="J47" s="50">
        <v>0.23</v>
      </c>
      <c r="K47" s="51">
        <f t="shared" si="4"/>
        <v>16.518600000000006</v>
      </c>
      <c r="L47" s="51">
        <f t="shared" si="5"/>
        <v>88.338600000000014</v>
      </c>
      <c r="M47" s="52"/>
      <c r="N47" s="53" t="s">
        <v>114</v>
      </c>
      <c r="O47" s="52">
        <v>15.96</v>
      </c>
      <c r="P47" s="54" t="s">
        <v>24</v>
      </c>
      <c r="Q47" s="54"/>
      <c r="R47" s="55">
        <v>3</v>
      </c>
      <c r="S47" s="54">
        <v>17</v>
      </c>
      <c r="T47" s="56">
        <f t="shared" si="6"/>
        <v>51</v>
      </c>
      <c r="U47" s="52">
        <v>3</v>
      </c>
      <c r="V47" s="52">
        <v>19.149999999999999</v>
      </c>
      <c r="W47" s="52">
        <f>ROUND(AH47*1.2,2)</f>
        <v>19.149999999999999</v>
      </c>
      <c r="X47" s="52">
        <f t="shared" si="0"/>
        <v>57.449999999999996</v>
      </c>
      <c r="Y47" s="52"/>
      <c r="Z47" s="52">
        <v>18.12</v>
      </c>
      <c r="AA47" s="52">
        <f t="shared" si="1"/>
        <v>54.36</v>
      </c>
      <c r="AB47" s="52"/>
      <c r="AC47" s="52"/>
      <c r="AE47" s="57" t="s">
        <v>115</v>
      </c>
      <c r="AF47" s="57">
        <v>21</v>
      </c>
      <c r="AH47" s="57">
        <v>15.96</v>
      </c>
      <c r="AI47" s="58">
        <v>0</v>
      </c>
      <c r="AJ47" s="57">
        <v>15.1</v>
      </c>
      <c r="AK47" s="57">
        <f t="shared" si="10"/>
        <v>47.88</v>
      </c>
      <c r="AP47" s="57">
        <v>5</v>
      </c>
      <c r="AQ47" s="59">
        <v>0</v>
      </c>
      <c r="AR47" s="59">
        <v>0</v>
      </c>
      <c r="AS47" s="60">
        <v>0</v>
      </c>
    </row>
    <row r="48" spans="2:45" s="57" customFormat="1" ht="22.5">
      <c r="B48" s="46" t="s">
        <v>225</v>
      </c>
      <c r="C48" s="46" t="s">
        <v>226</v>
      </c>
      <c r="D48" s="46" t="s">
        <v>47</v>
      </c>
      <c r="E48" s="46" t="s">
        <v>107</v>
      </c>
      <c r="F48" s="46" t="s">
        <v>227</v>
      </c>
      <c r="G48" s="61">
        <v>10</v>
      </c>
      <c r="H48" s="48">
        <f t="shared" si="8"/>
        <v>11.4</v>
      </c>
      <c r="I48" s="49">
        <f t="shared" si="3"/>
        <v>114</v>
      </c>
      <c r="J48" s="50">
        <v>0.23</v>
      </c>
      <c r="K48" s="51">
        <f t="shared" si="4"/>
        <v>26.22</v>
      </c>
      <c r="L48" s="51">
        <f t="shared" si="5"/>
        <v>140.22</v>
      </c>
      <c r="M48" s="52"/>
      <c r="N48" s="53" t="s">
        <v>114</v>
      </c>
      <c r="O48" s="52">
        <v>7.6</v>
      </c>
      <c r="P48" s="54" t="s">
        <v>24</v>
      </c>
      <c r="Q48" s="54"/>
      <c r="R48" s="55">
        <v>17</v>
      </c>
      <c r="S48" s="54">
        <v>8</v>
      </c>
      <c r="T48" s="56">
        <f t="shared" si="6"/>
        <v>80</v>
      </c>
      <c r="U48" s="52">
        <v>10</v>
      </c>
      <c r="V48" s="52">
        <v>9.8800000000000008</v>
      </c>
      <c r="W48" s="52">
        <f t="shared" si="7"/>
        <v>9.8800000000000008</v>
      </c>
      <c r="X48" s="52">
        <f t="shared" si="0"/>
        <v>98.800000000000011</v>
      </c>
      <c r="Y48" s="52"/>
      <c r="Z48" s="52">
        <v>8.4600000000000009</v>
      </c>
      <c r="AA48" s="52">
        <f t="shared" si="1"/>
        <v>84.600000000000009</v>
      </c>
      <c r="AB48" s="52"/>
      <c r="AC48" s="52"/>
      <c r="AE48" s="57" t="s">
        <v>115</v>
      </c>
      <c r="AF48" s="57">
        <v>10</v>
      </c>
      <c r="AH48" s="57">
        <v>7.6</v>
      </c>
      <c r="AI48" s="58">
        <v>4</v>
      </c>
      <c r="AJ48" s="57">
        <v>7.1</v>
      </c>
      <c r="AK48" s="57">
        <f t="shared" si="10"/>
        <v>76</v>
      </c>
      <c r="AP48" s="57">
        <v>0</v>
      </c>
      <c r="AQ48" s="59">
        <v>0</v>
      </c>
      <c r="AR48" s="59">
        <v>0</v>
      </c>
      <c r="AS48" s="60">
        <v>0</v>
      </c>
    </row>
    <row r="49" spans="2:45" s="57" customFormat="1" ht="22.5">
      <c r="B49" s="46" t="s">
        <v>228</v>
      </c>
      <c r="C49" s="46" t="s">
        <v>229</v>
      </c>
      <c r="D49" s="46" t="s">
        <v>142</v>
      </c>
      <c r="E49" s="46" t="s">
        <v>230</v>
      </c>
      <c r="F49" s="46" t="s">
        <v>231</v>
      </c>
      <c r="G49" s="61">
        <v>2</v>
      </c>
      <c r="H49" s="48">
        <f>ROUND(O49*1.1,2)</f>
        <v>354.99</v>
      </c>
      <c r="I49" s="49">
        <f t="shared" si="3"/>
        <v>709.98</v>
      </c>
      <c r="J49" s="50">
        <v>0.23</v>
      </c>
      <c r="K49" s="51">
        <f t="shared" si="4"/>
        <v>163.29539999999997</v>
      </c>
      <c r="L49" s="51">
        <f t="shared" si="5"/>
        <v>873.27539999999999</v>
      </c>
      <c r="M49" s="52"/>
      <c r="N49" s="53" t="s">
        <v>114</v>
      </c>
      <c r="O49" s="52">
        <v>322.72000000000003</v>
      </c>
      <c r="P49" s="54" t="s">
        <v>24</v>
      </c>
      <c r="Q49" s="54"/>
      <c r="R49" s="55"/>
      <c r="S49" s="54">
        <v>350</v>
      </c>
      <c r="T49" s="56">
        <f t="shared" si="6"/>
        <v>700</v>
      </c>
      <c r="U49" s="52">
        <v>2</v>
      </c>
      <c r="V49" s="52">
        <v>419.54</v>
      </c>
      <c r="W49" s="52">
        <f t="shared" si="7"/>
        <v>419.54</v>
      </c>
      <c r="X49" s="52">
        <f t="shared" si="0"/>
        <v>839.08</v>
      </c>
      <c r="Y49" s="52"/>
      <c r="Z49" s="52">
        <v>372</v>
      </c>
      <c r="AA49" s="52">
        <f t="shared" si="1"/>
        <v>744</v>
      </c>
      <c r="AB49" s="52"/>
      <c r="AC49" s="52"/>
      <c r="AE49" s="57" t="s">
        <v>115</v>
      </c>
      <c r="AF49" s="57">
        <v>424.64</v>
      </c>
      <c r="AH49" s="57">
        <v>322.72000000000003</v>
      </c>
      <c r="AI49" s="58">
        <v>2</v>
      </c>
      <c r="AK49" s="57">
        <f t="shared" si="10"/>
        <v>645.44000000000005</v>
      </c>
      <c r="AP49" s="57">
        <v>2</v>
      </c>
      <c r="AQ49" s="59" t="s">
        <v>232</v>
      </c>
      <c r="AR49" s="60">
        <v>139</v>
      </c>
      <c r="AS49" s="60">
        <v>417</v>
      </c>
    </row>
    <row r="50" spans="2:45" s="57" customFormat="1" ht="22.5">
      <c r="B50" s="46" t="s">
        <v>233</v>
      </c>
      <c r="C50" s="64" t="s">
        <v>234</v>
      </c>
      <c r="D50" s="64" t="s">
        <v>235</v>
      </c>
      <c r="E50" s="64" t="s">
        <v>56</v>
      </c>
      <c r="F50" s="64" t="s">
        <v>236</v>
      </c>
      <c r="G50" s="47">
        <v>8</v>
      </c>
      <c r="H50" s="65">
        <v>327</v>
      </c>
      <c r="I50" s="71">
        <f t="shared" si="3"/>
        <v>2616</v>
      </c>
      <c r="J50" s="50">
        <v>0.23</v>
      </c>
      <c r="K50" s="51">
        <f t="shared" si="4"/>
        <v>601.68000000000029</v>
      </c>
      <c r="L50" s="51">
        <f t="shared" si="5"/>
        <v>3217.6800000000003</v>
      </c>
      <c r="M50" s="52" t="s">
        <v>237</v>
      </c>
      <c r="N50" s="53" t="s">
        <v>114</v>
      </c>
      <c r="O50" s="52">
        <v>469.41</v>
      </c>
      <c r="P50" s="54" t="s">
        <v>24</v>
      </c>
      <c r="Q50" s="54"/>
      <c r="R50" s="55"/>
      <c r="S50" s="54">
        <v>470</v>
      </c>
      <c r="T50" s="56">
        <f t="shared" si="6"/>
        <v>3760</v>
      </c>
      <c r="U50" s="52">
        <v>4</v>
      </c>
      <c r="V50" s="52">
        <v>375.54</v>
      </c>
      <c r="W50" s="52">
        <f>ROUND(AH50*0.8,2)</f>
        <v>375.54</v>
      </c>
      <c r="X50" s="52">
        <f t="shared" si="0"/>
        <v>3004.32</v>
      </c>
      <c r="Y50" s="52" t="s">
        <v>238</v>
      </c>
      <c r="Z50" s="52">
        <v>435</v>
      </c>
      <c r="AA50" s="52">
        <f t="shared" si="1"/>
        <v>3480</v>
      </c>
      <c r="AB50" s="52" t="s">
        <v>239</v>
      </c>
      <c r="AC50" s="52"/>
      <c r="AE50" s="58" t="s">
        <v>115</v>
      </c>
      <c r="AF50" s="58">
        <v>617.65</v>
      </c>
      <c r="AG50" s="58"/>
      <c r="AH50" s="58">
        <v>469.42</v>
      </c>
      <c r="AI50" s="58" t="s">
        <v>239</v>
      </c>
      <c r="AJ50" s="57">
        <v>435</v>
      </c>
      <c r="AK50" s="57">
        <f>AJ50*G50</f>
        <v>3480</v>
      </c>
      <c r="AP50" s="57">
        <v>0</v>
      </c>
      <c r="AQ50" s="59" t="s">
        <v>240</v>
      </c>
      <c r="AR50" s="60">
        <v>50</v>
      </c>
      <c r="AS50" s="60">
        <v>100</v>
      </c>
    </row>
    <row r="51" spans="2:45" s="57" customFormat="1" ht="22.5">
      <c r="B51" s="46" t="s">
        <v>241</v>
      </c>
      <c r="C51" s="64" t="s">
        <v>242</v>
      </c>
      <c r="D51" s="72" t="s">
        <v>243</v>
      </c>
      <c r="E51" s="64" t="s">
        <v>88</v>
      </c>
      <c r="F51" s="64" t="s">
        <v>244</v>
      </c>
      <c r="G51" s="73">
        <v>1</v>
      </c>
      <c r="H51" s="65">
        <f>ROUND(O51*1.1,2)</f>
        <v>118.33</v>
      </c>
      <c r="I51" s="71">
        <f t="shared" si="3"/>
        <v>118.33</v>
      </c>
      <c r="J51" s="50">
        <v>0.23</v>
      </c>
      <c r="K51" s="51">
        <f t="shared" si="4"/>
        <v>27.215899999999991</v>
      </c>
      <c r="L51" s="51">
        <f t="shared" si="5"/>
        <v>145.54589999999999</v>
      </c>
      <c r="M51" s="52"/>
      <c r="N51" s="53" t="s">
        <v>114</v>
      </c>
      <c r="O51" s="52">
        <v>107.57</v>
      </c>
      <c r="P51" s="54" t="s">
        <v>24</v>
      </c>
      <c r="Q51" s="54"/>
      <c r="R51" s="55"/>
      <c r="S51" s="54">
        <v>117</v>
      </c>
      <c r="T51" s="56">
        <f t="shared" si="6"/>
        <v>117</v>
      </c>
      <c r="U51" s="52">
        <v>1</v>
      </c>
      <c r="V51" s="52">
        <v>118.33</v>
      </c>
      <c r="W51" s="52">
        <f>ROUND(AH51*1.1,2)</f>
        <v>118.33</v>
      </c>
      <c r="X51" s="52">
        <f t="shared" si="0"/>
        <v>118.33</v>
      </c>
      <c r="Y51" s="52">
        <v>0.1</v>
      </c>
      <c r="Z51" s="52">
        <v>75.599999999999994</v>
      </c>
      <c r="AA51" s="52">
        <f t="shared" si="1"/>
        <v>75.599999999999994</v>
      </c>
      <c r="AB51" s="52"/>
      <c r="AC51" s="52"/>
      <c r="AE51" s="57" t="s">
        <v>115</v>
      </c>
      <c r="AF51" s="57">
        <v>141.55000000000001</v>
      </c>
      <c r="AH51" s="57">
        <v>107.57</v>
      </c>
      <c r="AI51" s="58">
        <v>0</v>
      </c>
      <c r="AK51" s="57">
        <f t="shared" ref="AK51:AK65" si="11">AH51*G51</f>
        <v>107.57</v>
      </c>
      <c r="AP51" s="57">
        <v>1</v>
      </c>
      <c r="AQ51" s="59" t="s">
        <v>245</v>
      </c>
      <c r="AR51" s="60">
        <v>54</v>
      </c>
      <c r="AS51" s="60">
        <v>378</v>
      </c>
    </row>
    <row r="52" spans="2:45" s="57" customFormat="1" ht="22.5">
      <c r="B52" s="46" t="s">
        <v>246</v>
      </c>
      <c r="C52" s="64" t="s">
        <v>247</v>
      </c>
      <c r="D52" s="64" t="s">
        <v>248</v>
      </c>
      <c r="E52" s="64" t="s">
        <v>249</v>
      </c>
      <c r="F52" s="64" t="s">
        <v>250</v>
      </c>
      <c r="G52" s="47">
        <v>2</v>
      </c>
      <c r="H52" s="65">
        <f t="shared" si="8"/>
        <v>31.91</v>
      </c>
      <c r="I52" s="49">
        <f t="shared" si="3"/>
        <v>63.82</v>
      </c>
      <c r="J52" s="50">
        <v>0.23</v>
      </c>
      <c r="K52" s="51">
        <f t="shared" si="4"/>
        <v>14.678599999999996</v>
      </c>
      <c r="L52" s="51">
        <f t="shared" si="5"/>
        <v>78.498599999999996</v>
      </c>
      <c r="M52" s="52"/>
      <c r="N52" s="53" t="s">
        <v>114</v>
      </c>
      <c r="O52" s="52">
        <v>21.27</v>
      </c>
      <c r="P52" s="54" t="s">
        <v>24</v>
      </c>
      <c r="Q52" s="54"/>
      <c r="R52" s="55">
        <v>1</v>
      </c>
      <c r="S52" s="54">
        <v>23</v>
      </c>
      <c r="T52" s="56">
        <f t="shared" si="6"/>
        <v>46</v>
      </c>
      <c r="U52" s="52">
        <v>2</v>
      </c>
      <c r="V52" s="52">
        <v>27.65</v>
      </c>
      <c r="W52" s="52">
        <f t="shared" si="7"/>
        <v>27.65</v>
      </c>
      <c r="X52" s="52">
        <f t="shared" si="0"/>
        <v>55.3</v>
      </c>
      <c r="Y52" s="52"/>
      <c r="Z52" s="52">
        <v>13.85</v>
      </c>
      <c r="AA52" s="52">
        <f t="shared" si="1"/>
        <v>27.7</v>
      </c>
      <c r="AB52" s="52"/>
      <c r="AC52" s="52"/>
      <c r="AE52" s="57" t="s">
        <v>115</v>
      </c>
      <c r="AF52" s="57">
        <v>27.99</v>
      </c>
      <c r="AH52" s="57">
        <v>21.27</v>
      </c>
      <c r="AI52" s="58">
        <v>0</v>
      </c>
      <c r="AK52" s="57">
        <f t="shared" si="11"/>
        <v>42.54</v>
      </c>
      <c r="AP52" s="57">
        <v>0</v>
      </c>
      <c r="AQ52" s="59">
        <v>0</v>
      </c>
      <c r="AR52" s="59">
        <v>0</v>
      </c>
      <c r="AS52" s="60">
        <v>0</v>
      </c>
    </row>
    <row r="53" spans="2:45" s="57" customFormat="1">
      <c r="B53" s="46" t="s">
        <v>251</v>
      </c>
      <c r="C53" s="75" t="s">
        <v>252</v>
      </c>
      <c r="D53" s="75" t="s">
        <v>253</v>
      </c>
      <c r="E53" s="75" t="s">
        <v>249</v>
      </c>
      <c r="F53" s="75" t="s">
        <v>254</v>
      </c>
      <c r="G53" s="76">
        <v>2</v>
      </c>
      <c r="H53" s="48">
        <f t="shared" si="8"/>
        <v>30.57</v>
      </c>
      <c r="I53" s="49">
        <f t="shared" si="3"/>
        <v>61.14</v>
      </c>
      <c r="J53" s="50">
        <v>0.23</v>
      </c>
      <c r="K53" s="51">
        <f t="shared" si="4"/>
        <v>14.062200000000004</v>
      </c>
      <c r="L53" s="51">
        <f t="shared" si="5"/>
        <v>75.202200000000005</v>
      </c>
      <c r="M53" s="52"/>
      <c r="N53" s="53" t="s">
        <v>50</v>
      </c>
      <c r="O53" s="52">
        <v>20.38</v>
      </c>
      <c r="P53" s="54" t="s">
        <v>64</v>
      </c>
      <c r="Q53" s="54">
        <v>11.09</v>
      </c>
      <c r="R53" s="55">
        <v>1</v>
      </c>
      <c r="S53" s="54">
        <v>12</v>
      </c>
      <c r="T53" s="56">
        <f t="shared" si="6"/>
        <v>24</v>
      </c>
      <c r="U53" s="52">
        <v>2</v>
      </c>
      <c r="V53" s="52">
        <v>23.4</v>
      </c>
      <c r="W53" s="52">
        <f t="shared" si="7"/>
        <v>23.4</v>
      </c>
      <c r="X53" s="52">
        <f t="shared" si="0"/>
        <v>46.8</v>
      </c>
      <c r="Y53" s="52"/>
      <c r="Z53" s="52">
        <v>21.78</v>
      </c>
      <c r="AA53" s="52">
        <f t="shared" si="1"/>
        <v>43.56</v>
      </c>
      <c r="AB53" s="52"/>
      <c r="AC53" s="52"/>
      <c r="AE53" s="57" t="s">
        <v>52</v>
      </c>
      <c r="AH53" s="57">
        <v>18</v>
      </c>
      <c r="AI53" s="58">
        <v>0</v>
      </c>
      <c r="AK53" s="57">
        <f t="shared" si="11"/>
        <v>36</v>
      </c>
      <c r="AP53" s="57">
        <v>4</v>
      </c>
      <c r="AQ53" s="59">
        <v>0</v>
      </c>
      <c r="AR53" s="59">
        <v>0</v>
      </c>
      <c r="AS53" s="60">
        <v>0</v>
      </c>
    </row>
    <row r="54" spans="2:45" s="57" customFormat="1" ht="22.5">
      <c r="B54" s="46" t="s">
        <v>255</v>
      </c>
      <c r="C54" s="46" t="s">
        <v>256</v>
      </c>
      <c r="D54" s="46" t="s">
        <v>168</v>
      </c>
      <c r="E54" s="46" t="s">
        <v>56</v>
      </c>
      <c r="F54" s="46" t="s">
        <v>257</v>
      </c>
      <c r="G54" s="47">
        <v>1</v>
      </c>
      <c r="H54" s="48">
        <f t="shared" si="8"/>
        <v>104.57</v>
      </c>
      <c r="I54" s="49">
        <f t="shared" si="3"/>
        <v>104.57</v>
      </c>
      <c r="J54" s="50">
        <v>0.23</v>
      </c>
      <c r="K54" s="51">
        <f t="shared" si="4"/>
        <v>24.051099999999991</v>
      </c>
      <c r="L54" s="51">
        <f t="shared" si="5"/>
        <v>128.62109999999998</v>
      </c>
      <c r="M54" s="52"/>
      <c r="N54" s="53" t="s">
        <v>114</v>
      </c>
      <c r="O54" s="52">
        <v>69.709999999999994</v>
      </c>
      <c r="P54" s="54" t="s">
        <v>24</v>
      </c>
      <c r="Q54" s="54"/>
      <c r="R54" s="55"/>
      <c r="S54" s="54">
        <v>75</v>
      </c>
      <c r="T54" s="56">
        <f t="shared" si="6"/>
        <v>75</v>
      </c>
      <c r="U54" s="52">
        <v>1</v>
      </c>
      <c r="V54" s="52">
        <v>83.65</v>
      </c>
      <c r="W54" s="52">
        <f>ROUND(AH54*1.2,2)</f>
        <v>83.65</v>
      </c>
      <c r="X54" s="52">
        <f t="shared" si="0"/>
        <v>83.65</v>
      </c>
      <c r="Y54" s="52"/>
      <c r="Z54" s="52">
        <v>78</v>
      </c>
      <c r="AA54" s="52">
        <f t="shared" si="1"/>
        <v>78</v>
      </c>
      <c r="AB54" s="52"/>
      <c r="AC54" s="52"/>
      <c r="AE54" s="57" t="s">
        <v>115</v>
      </c>
      <c r="AF54" s="57">
        <v>91.72</v>
      </c>
      <c r="AH54" s="57">
        <v>69.709999999999994</v>
      </c>
      <c r="AI54" s="58">
        <v>0</v>
      </c>
      <c r="AK54" s="57">
        <f t="shared" si="11"/>
        <v>69.709999999999994</v>
      </c>
      <c r="AP54" s="57">
        <v>0</v>
      </c>
      <c r="AQ54" s="59">
        <v>0</v>
      </c>
      <c r="AR54" s="59">
        <v>0</v>
      </c>
      <c r="AS54" s="60">
        <v>0</v>
      </c>
    </row>
    <row r="55" spans="2:45" s="57" customFormat="1">
      <c r="B55" s="46" t="s">
        <v>258</v>
      </c>
      <c r="C55" s="46" t="s">
        <v>259</v>
      </c>
      <c r="D55" s="46" t="s">
        <v>47</v>
      </c>
      <c r="E55" s="46" t="s">
        <v>56</v>
      </c>
      <c r="F55" s="46" t="s">
        <v>260</v>
      </c>
      <c r="G55" s="47">
        <v>6</v>
      </c>
      <c r="H55" s="48">
        <f>ROUND(O55*1.3,2)</f>
        <v>22.24</v>
      </c>
      <c r="I55" s="49">
        <f t="shared" si="3"/>
        <v>133.44</v>
      </c>
      <c r="J55" s="50">
        <v>0.23</v>
      </c>
      <c r="K55" s="51">
        <f t="shared" si="4"/>
        <v>30.691200000000009</v>
      </c>
      <c r="L55" s="51">
        <f t="shared" si="5"/>
        <v>164.13120000000001</v>
      </c>
      <c r="M55" s="52"/>
      <c r="N55" s="53" t="s">
        <v>50</v>
      </c>
      <c r="O55" s="52">
        <v>17.11</v>
      </c>
      <c r="P55" s="54" t="s">
        <v>64</v>
      </c>
      <c r="Q55" s="54">
        <v>23.97</v>
      </c>
      <c r="R55" s="55">
        <v>1</v>
      </c>
      <c r="S55" s="54">
        <v>19</v>
      </c>
      <c r="T55" s="56">
        <f t="shared" si="6"/>
        <v>114</v>
      </c>
      <c r="U55" s="52">
        <v>6</v>
      </c>
      <c r="V55" s="52">
        <v>19.21</v>
      </c>
      <c r="W55" s="52">
        <f t="shared" si="7"/>
        <v>19.21</v>
      </c>
      <c r="X55" s="52">
        <f t="shared" si="0"/>
        <v>115.26</v>
      </c>
      <c r="Y55" s="52"/>
      <c r="Z55" s="52">
        <v>33</v>
      </c>
      <c r="AA55" s="52">
        <f t="shared" si="1"/>
        <v>198</v>
      </c>
      <c r="AB55" s="52"/>
      <c r="AC55" s="52"/>
      <c r="AE55" s="57" t="s">
        <v>52</v>
      </c>
      <c r="AH55" s="57">
        <v>14.78</v>
      </c>
      <c r="AI55" s="58">
        <v>3</v>
      </c>
      <c r="AK55" s="57">
        <f t="shared" si="11"/>
        <v>88.679999999999993</v>
      </c>
      <c r="AP55" s="57">
        <v>0</v>
      </c>
      <c r="AQ55" s="59">
        <v>0</v>
      </c>
      <c r="AR55" s="59">
        <v>0</v>
      </c>
      <c r="AS55" s="60">
        <v>0</v>
      </c>
    </row>
    <row r="56" spans="2:45" s="57" customFormat="1">
      <c r="B56" s="46" t="s">
        <v>261</v>
      </c>
      <c r="C56" s="64" t="s">
        <v>262</v>
      </c>
      <c r="D56" s="64" t="s">
        <v>67</v>
      </c>
      <c r="E56" s="64" t="s">
        <v>56</v>
      </c>
      <c r="F56" s="64" t="s">
        <v>263</v>
      </c>
      <c r="G56" s="47">
        <v>20</v>
      </c>
      <c r="H56" s="65">
        <f>ROUND(O56*1.05,2)</f>
        <v>92.21</v>
      </c>
      <c r="I56" s="49">
        <f t="shared" si="3"/>
        <v>1844.1999999999998</v>
      </c>
      <c r="J56" s="50">
        <v>0.23</v>
      </c>
      <c r="K56" s="51">
        <f t="shared" si="4"/>
        <v>424.16600000000017</v>
      </c>
      <c r="L56" s="51">
        <f t="shared" si="5"/>
        <v>2268.366</v>
      </c>
      <c r="M56" s="52"/>
      <c r="N56" s="53" t="s">
        <v>50</v>
      </c>
      <c r="O56" s="52">
        <v>87.82</v>
      </c>
      <c r="P56" s="54" t="s">
        <v>64</v>
      </c>
      <c r="Q56" s="54">
        <f>38.52*2.5</f>
        <v>96.300000000000011</v>
      </c>
      <c r="R56" s="55"/>
      <c r="S56" s="54">
        <v>96</v>
      </c>
      <c r="T56" s="56">
        <f t="shared" si="6"/>
        <v>1920</v>
      </c>
      <c r="U56" s="52">
        <v>16</v>
      </c>
      <c r="V56" s="52">
        <v>84</v>
      </c>
      <c r="W56" s="52">
        <f>ROUND(AH56*1.05,2)</f>
        <v>84</v>
      </c>
      <c r="X56" s="52">
        <f t="shared" si="0"/>
        <v>1680</v>
      </c>
      <c r="Y56" s="52">
        <v>0.05</v>
      </c>
      <c r="Z56" s="52">
        <v>96.02</v>
      </c>
      <c r="AA56" s="52">
        <f t="shared" si="1"/>
        <v>1920.3999999999999</v>
      </c>
      <c r="AB56" s="52" t="s">
        <v>264</v>
      </c>
      <c r="AC56" s="52"/>
      <c r="AE56" s="57" t="s">
        <v>52</v>
      </c>
      <c r="AH56" s="57">
        <v>80</v>
      </c>
      <c r="AI56" s="58">
        <v>0</v>
      </c>
      <c r="AK56" s="57">
        <f t="shared" si="11"/>
        <v>1600</v>
      </c>
      <c r="AP56" s="57">
        <v>4</v>
      </c>
      <c r="AQ56" s="59">
        <v>0</v>
      </c>
      <c r="AR56" s="59">
        <v>0</v>
      </c>
      <c r="AS56" s="60">
        <v>0</v>
      </c>
    </row>
    <row r="57" spans="2:45" s="57" customFormat="1">
      <c r="B57" s="46" t="s">
        <v>265</v>
      </c>
      <c r="C57" s="64" t="s">
        <v>266</v>
      </c>
      <c r="D57" s="64" t="s">
        <v>47</v>
      </c>
      <c r="E57" s="64" t="s">
        <v>56</v>
      </c>
      <c r="F57" s="64" t="s">
        <v>267</v>
      </c>
      <c r="G57" s="47">
        <v>5</v>
      </c>
      <c r="H57" s="65">
        <f t="shared" si="8"/>
        <v>25.53</v>
      </c>
      <c r="I57" s="49">
        <f t="shared" si="3"/>
        <v>127.65</v>
      </c>
      <c r="J57" s="50">
        <v>0.23</v>
      </c>
      <c r="K57" s="51">
        <f t="shared" si="4"/>
        <v>29.359499999999997</v>
      </c>
      <c r="L57" s="51">
        <f t="shared" si="5"/>
        <v>157.0095</v>
      </c>
      <c r="M57" s="52"/>
      <c r="N57" s="53" t="s">
        <v>50</v>
      </c>
      <c r="O57" s="52">
        <v>17.02</v>
      </c>
      <c r="P57" s="54" t="s">
        <v>64</v>
      </c>
      <c r="Q57" s="54">
        <v>14.3</v>
      </c>
      <c r="R57" s="55">
        <v>1</v>
      </c>
      <c r="S57" s="54">
        <v>16</v>
      </c>
      <c r="T57" s="56">
        <f t="shared" si="6"/>
        <v>80</v>
      </c>
      <c r="U57" s="52">
        <v>5</v>
      </c>
      <c r="V57" s="52">
        <v>18.2</v>
      </c>
      <c r="W57" s="52">
        <f t="shared" si="7"/>
        <v>18.2</v>
      </c>
      <c r="X57" s="52">
        <f t="shared" si="0"/>
        <v>91</v>
      </c>
      <c r="Y57" s="52"/>
      <c r="Z57" s="52">
        <v>16.54</v>
      </c>
      <c r="AA57" s="52">
        <f t="shared" si="1"/>
        <v>82.699999999999989</v>
      </c>
      <c r="AB57" s="52"/>
      <c r="AC57" s="52"/>
      <c r="AE57" s="57" t="s">
        <v>52</v>
      </c>
      <c r="AH57" s="57">
        <v>14</v>
      </c>
      <c r="AI57" s="58">
        <v>1</v>
      </c>
      <c r="AK57" s="57">
        <f t="shared" si="11"/>
        <v>70</v>
      </c>
      <c r="AP57" s="57">
        <v>2</v>
      </c>
      <c r="AQ57" s="59">
        <v>0</v>
      </c>
      <c r="AR57" s="59">
        <v>0</v>
      </c>
      <c r="AS57" s="60">
        <v>0</v>
      </c>
    </row>
    <row r="58" spans="2:45" s="57" customFormat="1">
      <c r="B58" s="46" t="s">
        <v>268</v>
      </c>
      <c r="C58" s="46" t="s">
        <v>269</v>
      </c>
      <c r="D58" s="66" t="s">
        <v>270</v>
      </c>
      <c r="E58" s="46" t="s">
        <v>88</v>
      </c>
      <c r="F58" s="46" t="s">
        <v>271</v>
      </c>
      <c r="G58" s="73">
        <v>10</v>
      </c>
      <c r="H58" s="48">
        <f t="shared" si="8"/>
        <v>61.4</v>
      </c>
      <c r="I58" s="49">
        <f t="shared" si="3"/>
        <v>614</v>
      </c>
      <c r="J58" s="50">
        <v>0.23</v>
      </c>
      <c r="K58" s="51">
        <f t="shared" si="4"/>
        <v>141.22000000000003</v>
      </c>
      <c r="L58" s="51">
        <f t="shared" si="5"/>
        <v>755.22</v>
      </c>
      <c r="M58" s="52"/>
      <c r="N58" s="53" t="s">
        <v>50</v>
      </c>
      <c r="O58" s="52">
        <v>40.93</v>
      </c>
      <c r="P58" s="54" t="s">
        <v>64</v>
      </c>
      <c r="Q58" s="54"/>
      <c r="R58" s="55">
        <v>5</v>
      </c>
      <c r="S58" s="54">
        <v>45</v>
      </c>
      <c r="T58" s="56">
        <f t="shared" si="6"/>
        <v>450</v>
      </c>
      <c r="U58" s="52">
        <v>10</v>
      </c>
      <c r="V58" s="52">
        <v>59.8</v>
      </c>
      <c r="W58" s="52">
        <f t="shared" si="7"/>
        <v>59.8</v>
      </c>
      <c r="X58" s="52">
        <f t="shared" si="0"/>
        <v>598</v>
      </c>
      <c r="Y58" s="52"/>
      <c r="Z58" s="52">
        <v>55.33</v>
      </c>
      <c r="AA58" s="52">
        <f t="shared" si="1"/>
        <v>553.29999999999995</v>
      </c>
      <c r="AB58" s="52"/>
      <c r="AC58" s="52"/>
      <c r="AE58" s="57" t="s">
        <v>52</v>
      </c>
      <c r="AH58" s="57">
        <v>46</v>
      </c>
      <c r="AI58" s="58">
        <v>8</v>
      </c>
      <c r="AK58" s="57">
        <f t="shared" si="11"/>
        <v>460</v>
      </c>
      <c r="AP58" s="57">
        <v>0</v>
      </c>
      <c r="AQ58" s="59" t="s">
        <v>272</v>
      </c>
      <c r="AR58" s="60">
        <v>18</v>
      </c>
      <c r="AS58" s="60">
        <v>54</v>
      </c>
    </row>
    <row r="59" spans="2:45" s="57" customFormat="1">
      <c r="B59" s="46" t="s">
        <v>273</v>
      </c>
      <c r="C59" s="46" t="s">
        <v>274</v>
      </c>
      <c r="D59" s="66" t="s">
        <v>243</v>
      </c>
      <c r="E59" s="46" t="s">
        <v>88</v>
      </c>
      <c r="F59" s="46" t="s">
        <v>275</v>
      </c>
      <c r="G59" s="73">
        <v>2</v>
      </c>
      <c r="H59" s="48">
        <f>ROUND(O59*1.3,2)</f>
        <v>265.12</v>
      </c>
      <c r="I59" s="49">
        <f t="shared" si="3"/>
        <v>530.24</v>
      </c>
      <c r="J59" s="50">
        <v>0.23</v>
      </c>
      <c r="K59" s="51">
        <f t="shared" si="4"/>
        <v>121.95519999999999</v>
      </c>
      <c r="L59" s="51">
        <f t="shared" si="5"/>
        <v>652.1952</v>
      </c>
      <c r="M59" s="52"/>
      <c r="N59" s="53" t="s">
        <v>134</v>
      </c>
      <c r="O59" s="52">
        <f>51.5*4.5*0.88</f>
        <v>203.94</v>
      </c>
      <c r="P59" s="54" t="s">
        <v>24</v>
      </c>
      <c r="Q59" s="54"/>
      <c r="R59" s="55">
        <v>1</v>
      </c>
      <c r="S59" s="54">
        <v>220</v>
      </c>
      <c r="T59" s="56">
        <f t="shared" si="6"/>
        <v>440</v>
      </c>
      <c r="U59" s="52">
        <v>5</v>
      </c>
      <c r="V59" s="52">
        <v>224.4</v>
      </c>
      <c r="W59" s="52">
        <f>ROUND(AH59*1.2,2)</f>
        <v>224.4</v>
      </c>
      <c r="X59" s="52">
        <f t="shared" si="0"/>
        <v>448.8</v>
      </c>
      <c r="Y59" s="52">
        <v>0.2</v>
      </c>
      <c r="Z59" s="52">
        <v>177.29</v>
      </c>
      <c r="AA59" s="52">
        <f t="shared" si="1"/>
        <v>354.58</v>
      </c>
      <c r="AB59" s="52"/>
      <c r="AC59" s="52"/>
      <c r="AE59" s="57" t="s">
        <v>137</v>
      </c>
      <c r="AH59" s="57">
        <v>187</v>
      </c>
      <c r="AI59" s="58">
        <v>3</v>
      </c>
      <c r="AK59" s="57">
        <f t="shared" si="11"/>
        <v>374</v>
      </c>
      <c r="AP59" s="57">
        <v>0</v>
      </c>
      <c r="AQ59" s="59">
        <v>0</v>
      </c>
      <c r="AR59" s="59">
        <v>0</v>
      </c>
      <c r="AS59" s="60">
        <v>0</v>
      </c>
    </row>
    <row r="60" spans="2:45" s="57" customFormat="1">
      <c r="B60" s="46" t="s">
        <v>276</v>
      </c>
      <c r="C60" s="46" t="s">
        <v>277</v>
      </c>
      <c r="D60" s="46" t="s">
        <v>47</v>
      </c>
      <c r="E60" s="46" t="s">
        <v>56</v>
      </c>
      <c r="F60" s="46" t="s">
        <v>278</v>
      </c>
      <c r="G60" s="77">
        <v>180</v>
      </c>
      <c r="H60" s="48">
        <f>ROUND(O60*1.3,2)</f>
        <v>22.44</v>
      </c>
      <c r="I60" s="49">
        <f t="shared" si="3"/>
        <v>4039.2000000000003</v>
      </c>
      <c r="J60" s="50">
        <v>0.23</v>
      </c>
      <c r="K60" s="51">
        <f t="shared" si="4"/>
        <v>929.01600000000008</v>
      </c>
      <c r="L60" s="51">
        <f t="shared" si="5"/>
        <v>4968.2160000000003</v>
      </c>
      <c r="M60" s="52" t="s">
        <v>279</v>
      </c>
      <c r="N60" s="53" t="s">
        <v>50</v>
      </c>
      <c r="O60" s="52">
        <v>17.260000000000002</v>
      </c>
      <c r="P60" s="54" t="s">
        <v>64</v>
      </c>
      <c r="Q60" s="54">
        <v>17.260000000000002</v>
      </c>
      <c r="R60" s="55">
        <v>160</v>
      </c>
      <c r="S60" s="54">
        <v>14</v>
      </c>
      <c r="T60" s="56">
        <f t="shared" si="6"/>
        <v>2520</v>
      </c>
      <c r="U60" s="52">
        <v>180</v>
      </c>
      <c r="V60" s="52">
        <v>18.07</v>
      </c>
      <c r="W60" s="52">
        <f t="shared" si="7"/>
        <v>18.07</v>
      </c>
      <c r="X60" s="52">
        <f t="shared" si="0"/>
        <v>3252.6</v>
      </c>
      <c r="Y60" s="52"/>
      <c r="Z60" s="52">
        <v>11.39</v>
      </c>
      <c r="AA60" s="52">
        <f t="shared" si="1"/>
        <v>2050.2000000000003</v>
      </c>
      <c r="AB60" s="52"/>
      <c r="AC60" s="52"/>
      <c r="AE60" s="57" t="s">
        <v>52</v>
      </c>
      <c r="AH60" s="57">
        <v>13.9</v>
      </c>
      <c r="AI60" s="58">
        <v>72</v>
      </c>
      <c r="AK60" s="57">
        <f t="shared" si="11"/>
        <v>2502</v>
      </c>
      <c r="AP60" s="57">
        <v>0</v>
      </c>
      <c r="AQ60" s="59" t="s">
        <v>280</v>
      </c>
      <c r="AR60" s="60">
        <v>14.78</v>
      </c>
      <c r="AS60" s="60">
        <v>44.339999999999996</v>
      </c>
    </row>
    <row r="61" spans="2:45" s="57" customFormat="1" ht="33.75">
      <c r="B61" s="46" t="s">
        <v>281</v>
      </c>
      <c r="C61" s="46" t="s">
        <v>282</v>
      </c>
      <c r="D61" s="46" t="s">
        <v>47</v>
      </c>
      <c r="E61" s="46" t="s">
        <v>56</v>
      </c>
      <c r="F61" s="46" t="s">
        <v>283</v>
      </c>
      <c r="G61" s="77">
        <v>5</v>
      </c>
      <c r="H61" s="48">
        <f>ROUND(O61*1.2,2)</f>
        <v>43.9</v>
      </c>
      <c r="I61" s="49">
        <f t="shared" si="3"/>
        <v>219.5</v>
      </c>
      <c r="J61" s="50">
        <v>0.23</v>
      </c>
      <c r="K61" s="51">
        <f t="shared" si="4"/>
        <v>50.485000000000014</v>
      </c>
      <c r="L61" s="51">
        <f t="shared" si="5"/>
        <v>269.98500000000001</v>
      </c>
      <c r="M61" s="52"/>
      <c r="N61" s="53" t="s">
        <v>50</v>
      </c>
      <c r="O61" s="52">
        <v>36.58</v>
      </c>
      <c r="P61" s="54" t="s">
        <v>59</v>
      </c>
      <c r="Q61" s="54"/>
      <c r="R61" s="55"/>
      <c r="S61" s="54">
        <v>37</v>
      </c>
      <c r="T61" s="56">
        <f t="shared" si="6"/>
        <v>185</v>
      </c>
      <c r="U61" s="52">
        <v>5</v>
      </c>
      <c r="V61" s="52">
        <v>40.65</v>
      </c>
      <c r="W61" s="52">
        <f>ROUND(AH61*1.2,2)</f>
        <v>40.65</v>
      </c>
      <c r="X61" s="52">
        <f t="shared" si="0"/>
        <v>203.25</v>
      </c>
      <c r="Y61" s="52">
        <v>0.2</v>
      </c>
      <c r="Z61" s="52">
        <v>41.53</v>
      </c>
      <c r="AA61" s="52">
        <f t="shared" si="1"/>
        <v>207.65</v>
      </c>
      <c r="AB61" s="52"/>
      <c r="AC61" s="52"/>
      <c r="AE61" s="57" t="s">
        <v>60</v>
      </c>
      <c r="AF61" s="57">
        <v>42.34</v>
      </c>
      <c r="AG61" s="62">
        <v>0.2</v>
      </c>
      <c r="AH61" s="57">
        <f>AF61*0.8</f>
        <v>33.872000000000007</v>
      </c>
      <c r="AI61" s="58">
        <v>18</v>
      </c>
      <c r="AK61" s="57">
        <f t="shared" si="11"/>
        <v>169.36000000000004</v>
      </c>
      <c r="AP61" s="57">
        <v>0</v>
      </c>
      <c r="AQ61" s="78" t="s">
        <v>284</v>
      </c>
      <c r="AR61" s="60">
        <v>80</v>
      </c>
      <c r="AS61" s="60">
        <v>960</v>
      </c>
    </row>
    <row r="62" spans="2:45" s="57" customFormat="1" ht="22.5">
      <c r="B62" s="46" t="s">
        <v>285</v>
      </c>
      <c r="C62" s="46" t="s">
        <v>286</v>
      </c>
      <c r="D62" s="46" t="s">
        <v>67</v>
      </c>
      <c r="E62" s="46" t="s">
        <v>68</v>
      </c>
      <c r="F62" s="46" t="s">
        <v>287</v>
      </c>
      <c r="G62" s="61">
        <v>10</v>
      </c>
      <c r="H62" s="48">
        <f>ROUND(O62*1.1,2)</f>
        <v>52.65</v>
      </c>
      <c r="I62" s="49">
        <f t="shared" si="3"/>
        <v>526.5</v>
      </c>
      <c r="J62" s="50">
        <v>0.23</v>
      </c>
      <c r="K62" s="51">
        <f t="shared" si="4"/>
        <v>121.09500000000003</v>
      </c>
      <c r="L62" s="51">
        <f t="shared" si="5"/>
        <v>647.59500000000003</v>
      </c>
      <c r="M62" s="52"/>
      <c r="N62" s="53" t="s">
        <v>50</v>
      </c>
      <c r="O62" s="52">
        <v>47.86</v>
      </c>
      <c r="P62" s="54" t="s">
        <v>64</v>
      </c>
      <c r="Q62" s="54">
        <f>34.76*2.5</f>
        <v>86.899999999999991</v>
      </c>
      <c r="R62" s="55"/>
      <c r="S62" s="54">
        <v>51</v>
      </c>
      <c r="T62" s="56">
        <f t="shared" si="6"/>
        <v>510</v>
      </c>
      <c r="U62" s="52">
        <v>10</v>
      </c>
      <c r="V62" s="52">
        <v>57.34</v>
      </c>
      <c r="W62" s="52">
        <f t="shared" si="7"/>
        <v>57.34</v>
      </c>
      <c r="X62" s="52">
        <f t="shared" si="0"/>
        <v>573.40000000000009</v>
      </c>
      <c r="Y62" s="52"/>
      <c r="Z62" s="52">
        <v>52.64</v>
      </c>
      <c r="AA62" s="52">
        <f t="shared" si="1"/>
        <v>526.4</v>
      </c>
      <c r="AB62" s="52"/>
      <c r="AC62" s="52"/>
      <c r="AE62" s="57" t="s">
        <v>52</v>
      </c>
      <c r="AH62" s="57">
        <v>44.11</v>
      </c>
      <c r="AI62" s="58">
        <v>4</v>
      </c>
      <c r="AK62" s="57">
        <f t="shared" si="11"/>
        <v>441.1</v>
      </c>
      <c r="AP62" s="57">
        <v>3</v>
      </c>
      <c r="AQ62" s="59" t="s">
        <v>288</v>
      </c>
      <c r="AR62" s="60">
        <v>53</v>
      </c>
      <c r="AS62" s="60">
        <v>265</v>
      </c>
    </row>
    <row r="63" spans="2:45" s="57" customFormat="1" ht="22.5">
      <c r="B63" s="46" t="s">
        <v>289</v>
      </c>
      <c r="C63" s="46" t="s">
        <v>290</v>
      </c>
      <c r="D63" s="46" t="s">
        <v>291</v>
      </c>
      <c r="E63" s="46" t="s">
        <v>292</v>
      </c>
      <c r="F63" s="46" t="s">
        <v>293</v>
      </c>
      <c r="G63" s="61">
        <v>10</v>
      </c>
      <c r="H63" s="48">
        <f>ROUND(O63*1.2,2)</f>
        <v>133.69</v>
      </c>
      <c r="I63" s="49">
        <f t="shared" si="3"/>
        <v>1336.9</v>
      </c>
      <c r="J63" s="50">
        <v>0.23</v>
      </c>
      <c r="K63" s="51">
        <f t="shared" si="4"/>
        <v>307.48700000000008</v>
      </c>
      <c r="L63" s="51">
        <f t="shared" si="5"/>
        <v>1644.3870000000002</v>
      </c>
      <c r="M63" s="52" t="s">
        <v>294</v>
      </c>
      <c r="N63" s="53" t="s">
        <v>91</v>
      </c>
      <c r="O63" s="52">
        <v>111.41</v>
      </c>
      <c r="P63" s="54" t="s">
        <v>92</v>
      </c>
      <c r="Q63" s="54"/>
      <c r="R63" s="55"/>
      <c r="S63" s="54">
        <v>115</v>
      </c>
      <c r="T63" s="56">
        <f t="shared" si="6"/>
        <v>1150</v>
      </c>
      <c r="U63" s="52">
        <v>10</v>
      </c>
      <c r="V63" s="52">
        <v>138.72</v>
      </c>
      <c r="W63" s="52">
        <f>ROUND(AH63*1.2,2)</f>
        <v>138.72</v>
      </c>
      <c r="X63" s="52">
        <f t="shared" si="0"/>
        <v>1387.2</v>
      </c>
      <c r="Y63" s="52">
        <v>0.2</v>
      </c>
      <c r="Z63" s="52">
        <v>120</v>
      </c>
      <c r="AA63" s="52">
        <f t="shared" si="1"/>
        <v>1200</v>
      </c>
      <c r="AB63" s="52"/>
      <c r="AC63" s="52"/>
      <c r="AE63" s="57" t="s">
        <v>93</v>
      </c>
      <c r="AF63" s="57">
        <v>136</v>
      </c>
      <c r="AG63" s="62">
        <v>0.15</v>
      </c>
      <c r="AH63" s="57">
        <v>115.6</v>
      </c>
      <c r="AI63" s="58">
        <v>10</v>
      </c>
      <c r="AK63" s="57">
        <f t="shared" si="11"/>
        <v>1156</v>
      </c>
      <c r="AP63" s="57">
        <v>0</v>
      </c>
      <c r="AQ63" s="59" t="s">
        <v>295</v>
      </c>
      <c r="AR63" s="60">
        <v>14</v>
      </c>
      <c r="AS63" s="60">
        <v>70</v>
      </c>
    </row>
    <row r="64" spans="2:45" s="57" customFormat="1">
      <c r="B64" s="46" t="s">
        <v>296</v>
      </c>
      <c r="C64" s="64" t="s">
        <v>297</v>
      </c>
      <c r="D64" s="64" t="s">
        <v>132</v>
      </c>
      <c r="E64" s="64" t="s">
        <v>56</v>
      </c>
      <c r="F64" s="64" t="s">
        <v>298</v>
      </c>
      <c r="G64" s="47">
        <v>1</v>
      </c>
      <c r="H64" s="48">
        <f>ROUND(O64*1.2,2)</f>
        <v>167.75</v>
      </c>
      <c r="I64" s="49">
        <f t="shared" si="3"/>
        <v>167.75</v>
      </c>
      <c r="J64" s="50">
        <v>0.23</v>
      </c>
      <c r="K64" s="51">
        <f t="shared" si="4"/>
        <v>38.58250000000001</v>
      </c>
      <c r="L64" s="51">
        <f t="shared" si="5"/>
        <v>206.33250000000001</v>
      </c>
      <c r="M64" s="52"/>
      <c r="N64" s="53" t="s">
        <v>134</v>
      </c>
      <c r="O64" s="52">
        <f>35.3*4.5*0.88</f>
        <v>139.78799999999998</v>
      </c>
      <c r="P64" s="54" t="s">
        <v>24</v>
      </c>
      <c r="Q64" s="54"/>
      <c r="R64" s="55"/>
      <c r="S64" s="54">
        <v>150</v>
      </c>
      <c r="T64" s="56">
        <f t="shared" si="6"/>
        <v>150</v>
      </c>
      <c r="U64" s="52">
        <v>1</v>
      </c>
      <c r="V64" s="52">
        <v>141.9</v>
      </c>
      <c r="W64" s="52">
        <f>ROUND(AH64*1.1,2)</f>
        <v>141.9</v>
      </c>
      <c r="X64" s="52">
        <f t="shared" si="0"/>
        <v>141.9</v>
      </c>
      <c r="Y64" s="52">
        <v>0.1</v>
      </c>
      <c r="Z64" s="52">
        <v>125.94</v>
      </c>
      <c r="AA64" s="52">
        <f t="shared" si="1"/>
        <v>125.94</v>
      </c>
      <c r="AB64" s="52"/>
      <c r="AC64" s="52"/>
      <c r="AE64" s="57" t="s">
        <v>137</v>
      </c>
      <c r="AH64" s="57">
        <v>129</v>
      </c>
      <c r="AI64" s="58">
        <v>0</v>
      </c>
      <c r="AK64" s="57">
        <f t="shared" si="11"/>
        <v>129</v>
      </c>
      <c r="AP64" s="57">
        <v>0</v>
      </c>
      <c r="AQ64" s="59" t="s">
        <v>299</v>
      </c>
      <c r="AR64" s="60">
        <v>46</v>
      </c>
      <c r="AS64" s="60">
        <v>92</v>
      </c>
    </row>
    <row r="65" spans="2:45" s="57" customFormat="1">
      <c r="B65" s="46" t="s">
        <v>300</v>
      </c>
      <c r="C65" s="46" t="s">
        <v>301</v>
      </c>
      <c r="D65" s="46" t="s">
        <v>47</v>
      </c>
      <c r="E65" s="46" t="s">
        <v>56</v>
      </c>
      <c r="F65" s="46" t="s">
        <v>302</v>
      </c>
      <c r="G65" s="61">
        <v>5</v>
      </c>
      <c r="H65" s="48">
        <f t="shared" si="8"/>
        <v>25.77</v>
      </c>
      <c r="I65" s="49">
        <f t="shared" si="3"/>
        <v>128.85</v>
      </c>
      <c r="J65" s="50">
        <v>0.23</v>
      </c>
      <c r="K65" s="51">
        <f t="shared" si="4"/>
        <v>29.635500000000008</v>
      </c>
      <c r="L65" s="51">
        <f t="shared" si="5"/>
        <v>158.4855</v>
      </c>
      <c r="M65" s="52"/>
      <c r="N65" s="53" t="s">
        <v>50</v>
      </c>
      <c r="O65" s="52">
        <v>17.18</v>
      </c>
      <c r="P65" s="54" t="s">
        <v>64</v>
      </c>
      <c r="Q65" s="54">
        <v>18.47</v>
      </c>
      <c r="R65" s="55"/>
      <c r="S65" s="54">
        <v>18</v>
      </c>
      <c r="T65" s="56">
        <f t="shared" si="6"/>
        <v>90</v>
      </c>
      <c r="U65" s="52">
        <v>5</v>
      </c>
      <c r="V65" s="52">
        <v>18.2</v>
      </c>
      <c r="W65" s="52">
        <f t="shared" si="7"/>
        <v>18.2</v>
      </c>
      <c r="X65" s="52">
        <f t="shared" si="0"/>
        <v>91</v>
      </c>
      <c r="Y65" s="52"/>
      <c r="Z65" s="52">
        <v>14.71</v>
      </c>
      <c r="AA65" s="52">
        <f t="shared" si="1"/>
        <v>73.550000000000011</v>
      </c>
      <c r="AB65" s="52"/>
      <c r="AC65" s="52"/>
      <c r="AE65" s="57" t="s">
        <v>52</v>
      </c>
      <c r="AH65" s="57">
        <v>14</v>
      </c>
      <c r="AI65" s="58">
        <v>3</v>
      </c>
      <c r="AK65" s="57">
        <f t="shared" si="11"/>
        <v>70</v>
      </c>
      <c r="AP65" s="57">
        <v>1</v>
      </c>
      <c r="AQ65" s="59" t="s">
        <v>303</v>
      </c>
      <c r="AR65" s="60">
        <v>187</v>
      </c>
      <c r="AS65" s="60">
        <v>374</v>
      </c>
    </row>
    <row r="66" spans="2:45" s="57" customFormat="1" ht="22.5">
      <c r="B66" s="46" t="s">
        <v>304</v>
      </c>
      <c r="C66" s="46" t="s">
        <v>305</v>
      </c>
      <c r="D66" s="66" t="s">
        <v>191</v>
      </c>
      <c r="E66" s="46" t="s">
        <v>88</v>
      </c>
      <c r="F66" s="46" t="s">
        <v>306</v>
      </c>
      <c r="G66" s="67">
        <v>2</v>
      </c>
      <c r="H66" s="48">
        <f t="shared" si="8"/>
        <v>27.71</v>
      </c>
      <c r="I66" s="49">
        <f t="shared" si="3"/>
        <v>55.42</v>
      </c>
      <c r="J66" s="50">
        <v>0.23</v>
      </c>
      <c r="K66" s="51">
        <f t="shared" si="4"/>
        <v>12.746600000000001</v>
      </c>
      <c r="L66" s="51">
        <f t="shared" si="5"/>
        <v>68.166600000000003</v>
      </c>
      <c r="M66" s="52"/>
      <c r="N66" s="53" t="s">
        <v>114</v>
      </c>
      <c r="O66" s="52">
        <v>18.47</v>
      </c>
      <c r="P66" s="54" t="s">
        <v>24</v>
      </c>
      <c r="Q66" s="54"/>
      <c r="R66" s="55">
        <v>2</v>
      </c>
      <c r="S66" s="54">
        <v>20</v>
      </c>
      <c r="T66" s="56">
        <f t="shared" si="6"/>
        <v>40</v>
      </c>
      <c r="U66" s="52">
        <v>2</v>
      </c>
      <c r="V66" s="52">
        <v>22.16</v>
      </c>
      <c r="W66" s="52">
        <f>ROUND(AH66*1.2,2)</f>
        <v>22.16</v>
      </c>
      <c r="X66" s="52">
        <f t="shared" si="0"/>
        <v>44.32</v>
      </c>
      <c r="Y66" s="52"/>
      <c r="Z66" s="52">
        <v>20.399999999999999</v>
      </c>
      <c r="AA66" s="52">
        <f t="shared" si="1"/>
        <v>40.799999999999997</v>
      </c>
      <c r="AB66" s="52"/>
      <c r="AC66" s="52"/>
      <c r="AE66" s="57" t="s">
        <v>115</v>
      </c>
      <c r="AF66" s="57">
        <v>24.31</v>
      </c>
      <c r="AH66" s="57">
        <v>18.47</v>
      </c>
      <c r="AI66" s="58">
        <v>0</v>
      </c>
      <c r="AJ66" s="57">
        <v>18</v>
      </c>
      <c r="AK66" s="57">
        <f>AJ66*G66</f>
        <v>36</v>
      </c>
      <c r="AP66" s="57">
        <v>8</v>
      </c>
      <c r="AQ66" s="59">
        <v>0</v>
      </c>
      <c r="AR66" s="59">
        <v>0</v>
      </c>
      <c r="AS66" s="60">
        <v>0</v>
      </c>
    </row>
    <row r="67" spans="2:45" s="57" customFormat="1" ht="22.5">
      <c r="B67" s="46" t="s">
        <v>307</v>
      </c>
      <c r="C67" s="46" t="s">
        <v>308</v>
      </c>
      <c r="D67" s="46" t="s">
        <v>132</v>
      </c>
      <c r="E67" s="46" t="s">
        <v>56</v>
      </c>
      <c r="F67" s="46" t="s">
        <v>309</v>
      </c>
      <c r="G67" s="61">
        <v>2</v>
      </c>
      <c r="H67" s="48">
        <f>ROUND(O67*1.2,2)</f>
        <v>106.66</v>
      </c>
      <c r="I67" s="49">
        <f t="shared" si="3"/>
        <v>213.32</v>
      </c>
      <c r="J67" s="50">
        <v>0.23</v>
      </c>
      <c r="K67" s="51">
        <f t="shared" si="4"/>
        <v>49.063600000000008</v>
      </c>
      <c r="L67" s="51">
        <f t="shared" si="5"/>
        <v>262.3836</v>
      </c>
      <c r="M67" s="52"/>
      <c r="N67" s="53" t="s">
        <v>114</v>
      </c>
      <c r="O67" s="52">
        <v>88.88</v>
      </c>
      <c r="P67" s="54" t="s">
        <v>24</v>
      </c>
      <c r="Q67" s="54"/>
      <c r="R67" s="55"/>
      <c r="S67" s="54">
        <v>98</v>
      </c>
      <c r="T67" s="56">
        <f t="shared" si="6"/>
        <v>196</v>
      </c>
      <c r="U67" s="52">
        <v>2</v>
      </c>
      <c r="V67" s="52">
        <v>115.54</v>
      </c>
      <c r="W67" s="52">
        <f t="shared" si="7"/>
        <v>115.54</v>
      </c>
      <c r="X67" s="52">
        <f t="shared" si="0"/>
        <v>231.08</v>
      </c>
      <c r="Y67" s="52"/>
      <c r="Z67" s="52">
        <v>97.2</v>
      </c>
      <c r="AA67" s="52">
        <f t="shared" si="1"/>
        <v>194.4</v>
      </c>
      <c r="AB67" s="52"/>
      <c r="AC67" s="52"/>
      <c r="AE67" s="57" t="s">
        <v>115</v>
      </c>
      <c r="AF67" s="57">
        <v>116.95</v>
      </c>
      <c r="AH67" s="57">
        <v>88.88</v>
      </c>
      <c r="AI67" s="58">
        <v>1</v>
      </c>
      <c r="AJ67" s="57">
        <v>84</v>
      </c>
      <c r="AK67" s="57">
        <f t="shared" ref="AK67:AK75" si="12">AH67*G67</f>
        <v>177.76</v>
      </c>
      <c r="AP67" s="57">
        <v>3</v>
      </c>
      <c r="AQ67" s="59">
        <v>0</v>
      </c>
      <c r="AR67" s="59">
        <v>0</v>
      </c>
      <c r="AS67" s="60">
        <v>0</v>
      </c>
    </row>
    <row r="68" spans="2:45" s="57" customFormat="1" ht="22.5">
      <c r="B68" s="46" t="s">
        <v>310</v>
      </c>
      <c r="C68" s="64" t="s">
        <v>311</v>
      </c>
      <c r="D68" s="64" t="s">
        <v>132</v>
      </c>
      <c r="E68" s="64" t="s">
        <v>56</v>
      </c>
      <c r="F68" s="64" t="s">
        <v>312</v>
      </c>
      <c r="G68" s="47">
        <v>2</v>
      </c>
      <c r="H68" s="48">
        <f t="shared" si="8"/>
        <v>116.27</v>
      </c>
      <c r="I68" s="49">
        <f t="shared" si="3"/>
        <v>232.54</v>
      </c>
      <c r="J68" s="50">
        <v>0.23</v>
      </c>
      <c r="K68" s="51">
        <f t="shared" si="4"/>
        <v>53.484200000000016</v>
      </c>
      <c r="L68" s="51">
        <f t="shared" si="5"/>
        <v>286.02420000000001</v>
      </c>
      <c r="M68" s="52"/>
      <c r="N68" s="53" t="s">
        <v>114</v>
      </c>
      <c r="O68" s="52">
        <v>77.510000000000005</v>
      </c>
      <c r="P68" s="54" t="s">
        <v>24</v>
      </c>
      <c r="Q68" s="54"/>
      <c r="R68" s="55">
        <v>1</v>
      </c>
      <c r="S68" s="54">
        <v>85</v>
      </c>
      <c r="T68" s="56">
        <f t="shared" si="6"/>
        <v>170</v>
      </c>
      <c r="U68" s="52">
        <v>2</v>
      </c>
      <c r="V68" s="52">
        <v>85.26</v>
      </c>
      <c r="W68" s="52">
        <f>ROUND(AH68*1.1,2)</f>
        <v>85.26</v>
      </c>
      <c r="X68" s="52">
        <f t="shared" si="0"/>
        <v>170.52</v>
      </c>
      <c r="Y68" s="52">
        <v>0.1</v>
      </c>
      <c r="Z68" s="52">
        <v>85.8</v>
      </c>
      <c r="AA68" s="52">
        <f t="shared" si="1"/>
        <v>171.6</v>
      </c>
      <c r="AB68" s="52"/>
      <c r="AC68" s="52"/>
      <c r="AE68" s="57" t="s">
        <v>115</v>
      </c>
      <c r="AF68" s="57">
        <v>101.99</v>
      </c>
      <c r="AH68" s="57">
        <v>77.510000000000005</v>
      </c>
      <c r="AI68" s="58">
        <v>0</v>
      </c>
      <c r="AJ68" s="57">
        <v>75</v>
      </c>
      <c r="AK68" s="57">
        <f t="shared" si="12"/>
        <v>155.02000000000001</v>
      </c>
      <c r="AP68" s="57">
        <v>0</v>
      </c>
      <c r="AQ68" s="59">
        <v>0</v>
      </c>
      <c r="AR68" s="59">
        <v>0</v>
      </c>
      <c r="AS68" s="60">
        <v>0</v>
      </c>
    </row>
    <row r="69" spans="2:45" s="57" customFormat="1" ht="22.5">
      <c r="B69" s="46" t="s">
        <v>313</v>
      </c>
      <c r="C69" s="64" t="s">
        <v>314</v>
      </c>
      <c r="D69" s="64" t="s">
        <v>132</v>
      </c>
      <c r="E69" s="64" t="s">
        <v>56</v>
      </c>
      <c r="F69" s="64" t="s">
        <v>315</v>
      </c>
      <c r="G69" s="47">
        <v>1</v>
      </c>
      <c r="H69" s="48">
        <f>ROUND(O69*1.2,2)</f>
        <v>289.20999999999998</v>
      </c>
      <c r="I69" s="49">
        <f t="shared" si="3"/>
        <v>289.20999999999998</v>
      </c>
      <c r="J69" s="50">
        <v>0.23</v>
      </c>
      <c r="K69" s="51">
        <f t="shared" si="4"/>
        <v>66.518300000000011</v>
      </c>
      <c r="L69" s="51">
        <f t="shared" si="5"/>
        <v>355.72829999999999</v>
      </c>
      <c r="M69" s="52"/>
      <c r="N69" s="53" t="s">
        <v>50</v>
      </c>
      <c r="O69" s="52">
        <v>241.01</v>
      </c>
      <c r="P69" s="54" t="s">
        <v>64</v>
      </c>
      <c r="Q69" s="54"/>
      <c r="R69" s="55"/>
      <c r="S69" s="54">
        <v>260</v>
      </c>
      <c r="T69" s="56">
        <f t="shared" si="6"/>
        <v>260</v>
      </c>
      <c r="U69" s="52">
        <v>1</v>
      </c>
      <c r="V69" s="52">
        <v>209</v>
      </c>
      <c r="W69" s="52">
        <f>ROUND(AH69*1.1,2)</f>
        <v>209</v>
      </c>
      <c r="X69" s="52">
        <f t="shared" si="0"/>
        <v>209</v>
      </c>
      <c r="Y69" s="52">
        <v>0.1</v>
      </c>
      <c r="Z69" s="52">
        <v>210</v>
      </c>
      <c r="AA69" s="52">
        <f t="shared" si="1"/>
        <v>210</v>
      </c>
      <c r="AB69" s="52"/>
      <c r="AC69" s="52"/>
      <c r="AE69" s="57" t="s">
        <v>52</v>
      </c>
      <c r="AH69" s="57">
        <v>190</v>
      </c>
      <c r="AI69" s="58">
        <v>0</v>
      </c>
      <c r="AK69" s="57">
        <f t="shared" si="12"/>
        <v>190</v>
      </c>
      <c r="AP69" s="57">
        <v>0</v>
      </c>
      <c r="AQ69" s="59" t="s">
        <v>316</v>
      </c>
      <c r="AR69" s="60">
        <v>13.9</v>
      </c>
      <c r="AS69" s="60">
        <v>1807</v>
      </c>
    </row>
    <row r="70" spans="2:45" s="57" customFormat="1">
      <c r="B70" s="46" t="s">
        <v>317</v>
      </c>
      <c r="C70" s="64" t="s">
        <v>318</v>
      </c>
      <c r="D70" s="64" t="s">
        <v>112</v>
      </c>
      <c r="E70" s="64" t="s">
        <v>319</v>
      </c>
      <c r="F70" s="64" t="s">
        <v>320</v>
      </c>
      <c r="G70" s="47">
        <v>1</v>
      </c>
      <c r="H70" s="48">
        <f t="shared" si="8"/>
        <v>288.68</v>
      </c>
      <c r="I70" s="49">
        <f t="shared" si="3"/>
        <v>288.68</v>
      </c>
      <c r="J70" s="50">
        <v>0.23</v>
      </c>
      <c r="K70" s="51">
        <f t="shared" si="4"/>
        <v>66.396400000000028</v>
      </c>
      <c r="L70" s="51">
        <f t="shared" si="5"/>
        <v>355.07640000000004</v>
      </c>
      <c r="M70" s="52"/>
      <c r="N70" s="53" t="s">
        <v>134</v>
      </c>
      <c r="O70" s="52">
        <f>48.6*4.5*0.88</f>
        <v>192.45600000000002</v>
      </c>
      <c r="P70" s="54" t="s">
        <v>24</v>
      </c>
      <c r="Q70" s="54"/>
      <c r="R70" s="55">
        <v>2</v>
      </c>
      <c r="S70" s="54">
        <v>200</v>
      </c>
      <c r="T70" s="56">
        <f t="shared" si="6"/>
        <v>200</v>
      </c>
      <c r="U70" s="52">
        <v>1</v>
      </c>
      <c r="V70" s="52">
        <v>202.53</v>
      </c>
      <c r="W70" s="52">
        <f>ROUND(AH70*1.12,2)</f>
        <v>202.53</v>
      </c>
      <c r="X70" s="52">
        <f t="shared" si="0"/>
        <v>202.53</v>
      </c>
      <c r="Y70" s="52"/>
      <c r="Z70" s="52">
        <v>163.46</v>
      </c>
      <c r="AA70" s="52">
        <f t="shared" si="1"/>
        <v>163.46</v>
      </c>
      <c r="AB70" s="52"/>
      <c r="AC70" s="52"/>
      <c r="AE70" s="57" t="s">
        <v>137</v>
      </c>
      <c r="AH70" s="57">
        <v>180.83</v>
      </c>
      <c r="AI70" s="58">
        <v>0</v>
      </c>
      <c r="AK70" s="57">
        <f t="shared" si="12"/>
        <v>180.83</v>
      </c>
      <c r="AP70" s="57">
        <v>0</v>
      </c>
      <c r="AQ70" s="59">
        <v>0</v>
      </c>
      <c r="AR70" s="59">
        <v>0</v>
      </c>
      <c r="AS70" s="60">
        <v>0</v>
      </c>
    </row>
    <row r="71" spans="2:45" s="57" customFormat="1">
      <c r="B71" s="46" t="s">
        <v>321</v>
      </c>
      <c r="C71" s="46" t="s">
        <v>322</v>
      </c>
      <c r="D71" s="46" t="s">
        <v>112</v>
      </c>
      <c r="E71" s="46" t="s">
        <v>56</v>
      </c>
      <c r="F71" s="64" t="s">
        <v>323</v>
      </c>
      <c r="G71" s="47">
        <v>2</v>
      </c>
      <c r="H71" s="48">
        <f>ROUND(O71*1.2,2)</f>
        <v>70.73</v>
      </c>
      <c r="I71" s="49">
        <f t="shared" si="3"/>
        <v>141.46</v>
      </c>
      <c r="J71" s="50">
        <v>0.23</v>
      </c>
      <c r="K71" s="51">
        <f t="shared" si="4"/>
        <v>32.535799999999995</v>
      </c>
      <c r="L71" s="51">
        <f t="shared" si="5"/>
        <v>173.9958</v>
      </c>
      <c r="M71" s="52" t="s">
        <v>324</v>
      </c>
      <c r="N71" s="53" t="s">
        <v>114</v>
      </c>
      <c r="O71" s="52">
        <v>58.94</v>
      </c>
      <c r="P71" s="54" t="s">
        <v>24</v>
      </c>
      <c r="Q71" s="54"/>
      <c r="R71" s="55"/>
      <c r="S71" s="54">
        <v>65</v>
      </c>
      <c r="T71" s="56">
        <f t="shared" si="6"/>
        <v>130</v>
      </c>
      <c r="U71" s="52">
        <v>6</v>
      </c>
      <c r="V71" s="52">
        <v>174.76</v>
      </c>
      <c r="W71" s="52">
        <f t="shared" si="7"/>
        <v>174.76</v>
      </c>
      <c r="X71" s="52">
        <f t="shared" si="0"/>
        <v>349.52</v>
      </c>
      <c r="Y71" s="52"/>
      <c r="Z71" s="52">
        <v>152.75</v>
      </c>
      <c r="AA71" s="52">
        <f t="shared" si="1"/>
        <v>305.5</v>
      </c>
      <c r="AB71" s="52"/>
      <c r="AC71" s="52"/>
      <c r="AE71" s="57" t="s">
        <v>52</v>
      </c>
      <c r="AH71" s="57">
        <v>134.43</v>
      </c>
      <c r="AI71" s="58">
        <v>4</v>
      </c>
      <c r="AK71" s="57">
        <f t="shared" si="12"/>
        <v>268.86</v>
      </c>
      <c r="AP71" s="57">
        <v>72</v>
      </c>
      <c r="AQ71" s="59" t="s">
        <v>325</v>
      </c>
      <c r="AR71" s="60">
        <v>44.109000000000002</v>
      </c>
      <c r="AS71" s="60">
        <v>441.09000000000003</v>
      </c>
    </row>
    <row r="72" spans="2:45" s="57" customFormat="1">
      <c r="B72" s="46" t="s">
        <v>326</v>
      </c>
      <c r="C72" s="46" t="s">
        <v>327</v>
      </c>
      <c r="D72" s="46" t="s">
        <v>328</v>
      </c>
      <c r="E72" s="46" t="s">
        <v>56</v>
      </c>
      <c r="F72" s="64" t="s">
        <v>329</v>
      </c>
      <c r="G72" s="47">
        <v>2</v>
      </c>
      <c r="H72" s="48">
        <f t="shared" si="8"/>
        <v>130.5</v>
      </c>
      <c r="I72" s="49">
        <f t="shared" si="3"/>
        <v>261</v>
      </c>
      <c r="J72" s="50">
        <v>0.23</v>
      </c>
      <c r="K72" s="51">
        <f t="shared" si="4"/>
        <v>60.029999999999973</v>
      </c>
      <c r="L72" s="51">
        <f t="shared" si="5"/>
        <v>321.02999999999997</v>
      </c>
      <c r="M72" s="52"/>
      <c r="N72" s="53" t="s">
        <v>50</v>
      </c>
      <c r="O72" s="52">
        <v>87</v>
      </c>
      <c r="P72" s="54" t="s">
        <v>64</v>
      </c>
      <c r="Q72" s="54">
        <v>26.92</v>
      </c>
      <c r="R72" s="55">
        <v>1</v>
      </c>
      <c r="S72" s="54">
        <v>30</v>
      </c>
      <c r="T72" s="56">
        <f t="shared" si="6"/>
        <v>60</v>
      </c>
      <c r="U72" s="52">
        <v>2</v>
      </c>
      <c r="V72" s="52">
        <v>44.36</v>
      </c>
      <c r="W72" s="52">
        <f t="shared" si="7"/>
        <v>44.36</v>
      </c>
      <c r="X72" s="52">
        <f t="shared" si="0"/>
        <v>88.72</v>
      </c>
      <c r="Y72" s="52"/>
      <c r="Z72" s="52">
        <v>34.159999999999997</v>
      </c>
      <c r="AA72" s="52">
        <f t="shared" si="1"/>
        <v>68.319999999999993</v>
      </c>
      <c r="AB72" s="52"/>
      <c r="AC72" s="52"/>
      <c r="AE72" s="57" t="s">
        <v>52</v>
      </c>
      <c r="AH72" s="57">
        <v>34.119999999999997</v>
      </c>
      <c r="AI72" s="58">
        <v>0</v>
      </c>
      <c r="AK72" s="57">
        <f t="shared" si="12"/>
        <v>68.239999999999995</v>
      </c>
      <c r="AP72" s="57">
        <v>18</v>
      </c>
      <c r="AQ72" s="59" t="s">
        <v>330</v>
      </c>
      <c r="AR72" s="60">
        <v>129</v>
      </c>
      <c r="AS72" s="60">
        <v>258</v>
      </c>
    </row>
    <row r="73" spans="2:45" s="57" customFormat="1">
      <c r="B73" s="46" t="s">
        <v>331</v>
      </c>
      <c r="C73" s="46" t="s">
        <v>332</v>
      </c>
      <c r="D73" s="46" t="s">
        <v>112</v>
      </c>
      <c r="E73" s="46" t="s">
        <v>56</v>
      </c>
      <c r="F73" s="46" t="s">
        <v>333</v>
      </c>
      <c r="G73" s="61">
        <v>8</v>
      </c>
      <c r="H73" s="48">
        <f t="shared" si="8"/>
        <v>43.43</v>
      </c>
      <c r="I73" s="49">
        <f t="shared" si="3"/>
        <v>347.44</v>
      </c>
      <c r="J73" s="50">
        <v>0.23</v>
      </c>
      <c r="K73" s="51">
        <f t="shared" si="4"/>
        <v>79.911200000000008</v>
      </c>
      <c r="L73" s="51">
        <f t="shared" si="5"/>
        <v>427.35120000000001</v>
      </c>
      <c r="M73" s="52"/>
      <c r="N73" s="53" t="s">
        <v>50</v>
      </c>
      <c r="O73" s="52">
        <v>28.95</v>
      </c>
      <c r="P73" s="54" t="s">
        <v>64</v>
      </c>
      <c r="Q73" s="54">
        <v>22.08</v>
      </c>
      <c r="R73" s="55">
        <v>1</v>
      </c>
      <c r="S73" s="54">
        <v>24</v>
      </c>
      <c r="T73" s="56">
        <f t="shared" si="6"/>
        <v>192</v>
      </c>
      <c r="U73" s="52">
        <v>8</v>
      </c>
      <c r="V73" s="52">
        <v>31.38</v>
      </c>
      <c r="W73" s="52">
        <f t="shared" si="7"/>
        <v>31.38</v>
      </c>
      <c r="X73" s="52">
        <f t="shared" si="0"/>
        <v>251.04</v>
      </c>
      <c r="Y73" s="52"/>
      <c r="Z73" s="52">
        <v>27.24</v>
      </c>
      <c r="AA73" s="52">
        <f t="shared" si="1"/>
        <v>217.92</v>
      </c>
      <c r="AB73" s="52"/>
      <c r="AC73" s="52"/>
      <c r="AE73" s="57" t="s">
        <v>52</v>
      </c>
      <c r="AH73" s="57">
        <v>24.14</v>
      </c>
      <c r="AI73" s="58">
        <v>5</v>
      </c>
      <c r="AK73" s="57">
        <f t="shared" si="12"/>
        <v>193.12</v>
      </c>
      <c r="AP73" s="57">
        <v>4</v>
      </c>
      <c r="AQ73" s="59" t="s">
        <v>334</v>
      </c>
      <c r="AR73" s="60">
        <v>14</v>
      </c>
      <c r="AS73" s="60">
        <v>70</v>
      </c>
    </row>
    <row r="74" spans="2:45" s="57" customFormat="1" ht="22.5">
      <c r="B74" s="46" t="s">
        <v>335</v>
      </c>
      <c r="C74" s="46" t="s">
        <v>336</v>
      </c>
      <c r="D74" s="66" t="s">
        <v>248</v>
      </c>
      <c r="E74" s="46" t="s">
        <v>88</v>
      </c>
      <c r="F74" s="79" t="s">
        <v>337</v>
      </c>
      <c r="G74" s="67">
        <v>2</v>
      </c>
      <c r="H74" s="48">
        <f t="shared" si="8"/>
        <v>8.07</v>
      </c>
      <c r="I74" s="49">
        <f t="shared" si="3"/>
        <v>16.14</v>
      </c>
      <c r="J74" s="50">
        <v>0.23</v>
      </c>
      <c r="K74" s="51">
        <f t="shared" si="4"/>
        <v>3.7121999999999993</v>
      </c>
      <c r="L74" s="51">
        <f t="shared" si="5"/>
        <v>19.8522</v>
      </c>
      <c r="M74" s="52"/>
      <c r="N74" s="53" t="s">
        <v>114</v>
      </c>
      <c r="O74" s="52">
        <v>5.38</v>
      </c>
      <c r="P74" s="54" t="s">
        <v>24</v>
      </c>
      <c r="Q74" s="54"/>
      <c r="R74" s="55">
        <v>1</v>
      </c>
      <c r="S74" s="54">
        <v>6</v>
      </c>
      <c r="T74" s="56">
        <f t="shared" si="6"/>
        <v>12</v>
      </c>
      <c r="U74" s="52">
        <v>2</v>
      </c>
      <c r="V74" s="52">
        <v>6.99</v>
      </c>
      <c r="W74" s="52">
        <f t="shared" si="7"/>
        <v>6.99</v>
      </c>
      <c r="X74" s="52">
        <f t="shared" si="0"/>
        <v>13.98</v>
      </c>
      <c r="Y74" s="52"/>
      <c r="Z74" s="52">
        <v>7.99</v>
      </c>
      <c r="AA74" s="52">
        <f t="shared" si="1"/>
        <v>15.98</v>
      </c>
      <c r="AB74" s="52"/>
      <c r="AC74" s="52"/>
      <c r="AE74" s="57" t="s">
        <v>115</v>
      </c>
      <c r="AF74" s="57">
        <v>7.08</v>
      </c>
      <c r="AH74" s="57">
        <v>5.38</v>
      </c>
      <c r="AI74" s="58">
        <v>0</v>
      </c>
      <c r="AK74" s="57">
        <f t="shared" si="12"/>
        <v>10.76</v>
      </c>
      <c r="AP74" s="57">
        <v>10</v>
      </c>
      <c r="AQ74" s="59">
        <v>0</v>
      </c>
      <c r="AR74" s="59">
        <v>0</v>
      </c>
      <c r="AS74" s="60">
        <v>0</v>
      </c>
    </row>
    <row r="75" spans="2:45" s="57" customFormat="1">
      <c r="B75" s="46" t="s">
        <v>338</v>
      </c>
      <c r="C75" s="46" t="s">
        <v>339</v>
      </c>
      <c r="D75" s="46" t="s">
        <v>340</v>
      </c>
      <c r="E75" s="46" t="s">
        <v>56</v>
      </c>
      <c r="F75" s="46" t="s">
        <v>341</v>
      </c>
      <c r="G75" s="61">
        <v>5</v>
      </c>
      <c r="H75" s="48">
        <f t="shared" si="8"/>
        <v>49.94</v>
      </c>
      <c r="I75" s="49">
        <f t="shared" si="3"/>
        <v>249.7</v>
      </c>
      <c r="J75" s="50">
        <v>0.23</v>
      </c>
      <c r="K75" s="51">
        <f t="shared" ref="K75:K138" si="13">L75-I75</f>
        <v>57.430999999999983</v>
      </c>
      <c r="L75" s="51">
        <f t="shared" si="5"/>
        <v>307.13099999999997</v>
      </c>
      <c r="M75" s="52"/>
      <c r="N75" s="53" t="s">
        <v>50</v>
      </c>
      <c r="O75" s="52">
        <v>33.29</v>
      </c>
      <c r="P75" s="54" t="s">
        <v>64</v>
      </c>
      <c r="Q75" s="54">
        <v>33.729999999999997</v>
      </c>
      <c r="R75" s="55"/>
      <c r="S75" s="54">
        <v>36</v>
      </c>
      <c r="T75" s="56">
        <f t="shared" ref="T75:T138" si="14">S75*G75</f>
        <v>180</v>
      </c>
      <c r="U75" s="52">
        <v>5</v>
      </c>
      <c r="V75" s="52">
        <v>35.200000000000003</v>
      </c>
      <c r="W75" s="52">
        <f>ROUND(AH75*1.1,2)</f>
        <v>35.200000000000003</v>
      </c>
      <c r="X75" s="52">
        <f t="shared" si="0"/>
        <v>176</v>
      </c>
      <c r="Y75" s="52"/>
      <c r="Z75" s="52">
        <v>27.71</v>
      </c>
      <c r="AA75" s="52">
        <f t="shared" si="1"/>
        <v>138.55000000000001</v>
      </c>
      <c r="AB75" s="52"/>
      <c r="AC75" s="52"/>
      <c r="AE75" s="57" t="s">
        <v>52</v>
      </c>
      <c r="AH75" s="57">
        <v>32</v>
      </c>
      <c r="AI75" s="58">
        <v>0</v>
      </c>
      <c r="AK75" s="57">
        <f t="shared" si="12"/>
        <v>160</v>
      </c>
      <c r="AP75" s="57">
        <v>0</v>
      </c>
      <c r="AQ75" s="59">
        <v>0</v>
      </c>
      <c r="AR75" s="59">
        <v>0</v>
      </c>
      <c r="AS75" s="60">
        <v>0</v>
      </c>
    </row>
    <row r="76" spans="2:45" s="57" customFormat="1">
      <c r="B76" s="46" t="s">
        <v>342</v>
      </c>
      <c r="C76" s="46" t="s">
        <v>343</v>
      </c>
      <c r="D76" s="46" t="s">
        <v>291</v>
      </c>
      <c r="E76" s="46" t="s">
        <v>68</v>
      </c>
      <c r="F76" s="46" t="s">
        <v>344</v>
      </c>
      <c r="G76" s="61">
        <v>10</v>
      </c>
      <c r="H76" s="48">
        <f>ROUND(O76*1.1,2)</f>
        <v>123.11</v>
      </c>
      <c r="I76" s="49">
        <f t="shared" si="3"/>
        <v>1231.0999999999999</v>
      </c>
      <c r="J76" s="50">
        <v>0.23</v>
      </c>
      <c r="K76" s="51">
        <f t="shared" si="13"/>
        <v>283.15300000000002</v>
      </c>
      <c r="L76" s="51">
        <f t="shared" si="5"/>
        <v>1514.2529999999999</v>
      </c>
      <c r="M76" s="52"/>
      <c r="N76" s="53" t="s">
        <v>50</v>
      </c>
      <c r="O76" s="52">
        <v>111.92</v>
      </c>
      <c r="P76" s="54" t="s">
        <v>64</v>
      </c>
      <c r="Q76" s="54"/>
      <c r="R76" s="55"/>
      <c r="S76" s="54">
        <v>120</v>
      </c>
      <c r="T76" s="56">
        <f t="shared" si="14"/>
        <v>1200</v>
      </c>
      <c r="U76" s="52"/>
      <c r="V76" s="52"/>
      <c r="W76" s="52"/>
      <c r="X76" s="52"/>
      <c r="Y76" s="52"/>
      <c r="Z76" s="52"/>
      <c r="AA76" s="52"/>
      <c r="AB76" s="52"/>
      <c r="AC76" s="52"/>
      <c r="AI76" s="58"/>
      <c r="AQ76" s="59"/>
      <c r="AR76" s="59"/>
      <c r="AS76" s="60"/>
    </row>
    <row r="77" spans="2:45" s="57" customFormat="1">
      <c r="B77" s="46" t="s">
        <v>345</v>
      </c>
      <c r="C77" s="46" t="s">
        <v>346</v>
      </c>
      <c r="D77" s="46" t="s">
        <v>291</v>
      </c>
      <c r="E77" s="46" t="s">
        <v>68</v>
      </c>
      <c r="F77" s="46" t="s">
        <v>347</v>
      </c>
      <c r="G77" s="61">
        <v>10</v>
      </c>
      <c r="H77" s="65">
        <f>ROUND(O77*1.05,2)</f>
        <v>178.5</v>
      </c>
      <c r="I77" s="49">
        <f t="shared" si="3"/>
        <v>1785</v>
      </c>
      <c r="J77" s="50">
        <v>0.23</v>
      </c>
      <c r="K77" s="51">
        <f t="shared" si="13"/>
        <v>410.55000000000018</v>
      </c>
      <c r="L77" s="51">
        <f t="shared" si="5"/>
        <v>2195.5500000000002</v>
      </c>
      <c r="M77" s="52"/>
      <c r="N77" s="53" t="s">
        <v>79</v>
      </c>
      <c r="O77" s="52">
        <v>170</v>
      </c>
      <c r="P77" s="54" t="s">
        <v>24</v>
      </c>
      <c r="Q77" s="54"/>
      <c r="R77" s="55"/>
      <c r="S77" s="54">
        <f>67.34*4.5</f>
        <v>303.03000000000003</v>
      </c>
      <c r="T77" s="56">
        <f t="shared" si="14"/>
        <v>3030.3</v>
      </c>
      <c r="U77" s="52"/>
      <c r="V77" s="52"/>
      <c r="W77" s="52"/>
      <c r="X77" s="52"/>
      <c r="Y77" s="52"/>
      <c r="Z77" s="52"/>
      <c r="AA77" s="52"/>
      <c r="AB77" s="52"/>
      <c r="AC77" s="52"/>
      <c r="AI77" s="58"/>
      <c r="AQ77" s="59"/>
      <c r="AR77" s="59"/>
      <c r="AS77" s="60"/>
    </row>
    <row r="78" spans="2:45" s="57" customFormat="1" ht="22.5">
      <c r="B78" s="46" t="s">
        <v>348</v>
      </c>
      <c r="C78" s="64" t="s">
        <v>349</v>
      </c>
      <c r="D78" s="72" t="s">
        <v>191</v>
      </c>
      <c r="E78" s="64" t="s">
        <v>88</v>
      </c>
      <c r="F78" s="64" t="s">
        <v>350</v>
      </c>
      <c r="G78" s="73">
        <v>2</v>
      </c>
      <c r="H78" s="65">
        <f t="shared" ref="H78:H137" si="15">ROUND(O78*1.5,2)</f>
        <v>82.98</v>
      </c>
      <c r="I78" s="49">
        <f t="shared" si="3"/>
        <v>165.96</v>
      </c>
      <c r="J78" s="50">
        <v>0.23</v>
      </c>
      <c r="K78" s="51">
        <f t="shared" si="13"/>
        <v>38.170800000000014</v>
      </c>
      <c r="L78" s="51">
        <f t="shared" si="5"/>
        <v>204.13080000000002</v>
      </c>
      <c r="M78" s="52"/>
      <c r="N78" s="53" t="s">
        <v>114</v>
      </c>
      <c r="O78" s="52">
        <v>55.32</v>
      </c>
      <c r="P78" s="54" t="s">
        <v>24</v>
      </c>
      <c r="Q78" s="54"/>
      <c r="R78" s="55"/>
      <c r="S78" s="54">
        <v>60</v>
      </c>
      <c r="T78" s="56">
        <f t="shared" si="14"/>
        <v>120</v>
      </c>
      <c r="U78" s="52">
        <v>2</v>
      </c>
      <c r="V78" s="52">
        <v>60.85</v>
      </c>
      <c r="W78" s="52">
        <f>ROUND(AH78*1.1,2)</f>
        <v>60.85</v>
      </c>
      <c r="X78" s="52">
        <f t="shared" si="0"/>
        <v>121.7</v>
      </c>
      <c r="Y78" s="52">
        <v>0.1</v>
      </c>
      <c r="Z78" s="52">
        <v>56.4</v>
      </c>
      <c r="AA78" s="52">
        <f t="shared" si="1"/>
        <v>112.8</v>
      </c>
      <c r="AB78" s="52"/>
      <c r="AC78" s="52"/>
      <c r="AE78" s="57" t="s">
        <v>115</v>
      </c>
      <c r="AF78" s="57">
        <v>72.790000000000006</v>
      </c>
      <c r="AH78" s="57">
        <v>55.32</v>
      </c>
      <c r="AI78" s="58">
        <v>0</v>
      </c>
      <c r="AJ78" s="57">
        <v>50</v>
      </c>
      <c r="AK78" s="57">
        <f>AJ78*G78</f>
        <v>100</v>
      </c>
      <c r="AP78" s="57">
        <v>3</v>
      </c>
      <c r="AQ78" s="59">
        <v>0</v>
      </c>
      <c r="AR78" s="59">
        <v>0</v>
      </c>
      <c r="AS78" s="60">
        <v>0</v>
      </c>
    </row>
    <row r="79" spans="2:45" s="57" customFormat="1" ht="22.5">
      <c r="B79" s="46" t="s">
        <v>351</v>
      </c>
      <c r="C79" s="64" t="s">
        <v>352</v>
      </c>
      <c r="D79" s="64" t="s">
        <v>47</v>
      </c>
      <c r="E79" s="64" t="s">
        <v>68</v>
      </c>
      <c r="F79" s="64" t="s">
        <v>353</v>
      </c>
      <c r="G79" s="47">
        <v>10</v>
      </c>
      <c r="H79" s="48">
        <f>ROUND(O79*1.3,2)</f>
        <v>30.45</v>
      </c>
      <c r="I79" s="49">
        <f t="shared" si="3"/>
        <v>304.5</v>
      </c>
      <c r="J79" s="50">
        <v>0.23</v>
      </c>
      <c r="K79" s="51">
        <f t="shared" si="13"/>
        <v>70.034999999999968</v>
      </c>
      <c r="L79" s="51">
        <f t="shared" si="5"/>
        <v>374.53499999999997</v>
      </c>
      <c r="M79" s="52"/>
      <c r="N79" s="53" t="s">
        <v>50</v>
      </c>
      <c r="O79" s="52">
        <v>23.42</v>
      </c>
      <c r="P79" s="54" t="s">
        <v>64</v>
      </c>
      <c r="Q79" s="54">
        <v>49.1</v>
      </c>
      <c r="R79" s="55">
        <v>1</v>
      </c>
      <c r="S79" s="54">
        <v>25</v>
      </c>
      <c r="T79" s="56">
        <f t="shared" si="14"/>
        <v>250</v>
      </c>
      <c r="U79" s="52">
        <v>10</v>
      </c>
      <c r="V79" s="52">
        <v>20.12</v>
      </c>
      <c r="W79" s="52">
        <f>ROUND(AH79*1.03,2)</f>
        <v>20.12</v>
      </c>
      <c r="X79" s="52">
        <f t="shared" si="0"/>
        <v>201.20000000000002</v>
      </c>
      <c r="Y79" s="52">
        <v>0.1</v>
      </c>
      <c r="Z79" s="52">
        <v>21.92</v>
      </c>
      <c r="AA79" s="52">
        <f t="shared" si="1"/>
        <v>219.20000000000002</v>
      </c>
      <c r="AB79" s="52" t="s">
        <v>354</v>
      </c>
      <c r="AC79" s="52"/>
      <c r="AE79" s="57" t="s">
        <v>52</v>
      </c>
      <c r="AH79" s="57">
        <v>19.53</v>
      </c>
      <c r="AI79" s="58">
        <v>0</v>
      </c>
      <c r="AK79" s="57">
        <f t="shared" ref="AK79:AK100" si="16">AH79*G79</f>
        <v>195.3</v>
      </c>
      <c r="AP79" s="57">
        <v>0</v>
      </c>
      <c r="AQ79" s="59" t="s">
        <v>355</v>
      </c>
      <c r="AR79" s="60">
        <v>190</v>
      </c>
      <c r="AS79" s="60">
        <v>190</v>
      </c>
    </row>
    <row r="80" spans="2:45" s="57" customFormat="1">
      <c r="B80" s="46" t="s">
        <v>356</v>
      </c>
      <c r="C80" s="63" t="s">
        <v>357</v>
      </c>
      <c r="D80" s="64" t="s">
        <v>67</v>
      </c>
      <c r="E80" s="64" t="s">
        <v>68</v>
      </c>
      <c r="F80" s="64" t="s">
        <v>358</v>
      </c>
      <c r="G80" s="47">
        <v>8</v>
      </c>
      <c r="H80" s="65">
        <f>ROUND(O80*1.1,2)</f>
        <v>88.15</v>
      </c>
      <c r="I80" s="49">
        <f t="shared" si="3"/>
        <v>705.2</v>
      </c>
      <c r="J80" s="50">
        <v>0.23</v>
      </c>
      <c r="K80" s="51">
        <f t="shared" si="13"/>
        <v>162.19600000000003</v>
      </c>
      <c r="L80" s="51">
        <f t="shared" si="5"/>
        <v>867.39600000000007</v>
      </c>
      <c r="M80" s="52"/>
      <c r="N80" s="53" t="s">
        <v>79</v>
      </c>
      <c r="O80" s="52">
        <f>29.68*4.5*0.6</f>
        <v>80.135999999999996</v>
      </c>
      <c r="P80" s="54" t="s">
        <v>24</v>
      </c>
      <c r="Q80" s="54"/>
      <c r="R80" s="55"/>
      <c r="S80" s="54">
        <f>29.68*4.5</f>
        <v>133.56</v>
      </c>
      <c r="T80" s="56">
        <f t="shared" si="14"/>
        <v>1068.48</v>
      </c>
      <c r="U80" s="52">
        <v>8</v>
      </c>
      <c r="V80" s="52">
        <v>87.4</v>
      </c>
      <c r="W80" s="52">
        <f>ROUND(AH80*1.15,2)</f>
        <v>87.4</v>
      </c>
      <c r="X80" s="52">
        <f t="shared" si="0"/>
        <v>699.2</v>
      </c>
      <c r="Y80" s="52" t="s">
        <v>359</v>
      </c>
      <c r="Z80" s="52">
        <v>126</v>
      </c>
      <c r="AA80" s="52">
        <f t="shared" si="1"/>
        <v>1008</v>
      </c>
      <c r="AB80" s="52" t="s">
        <v>360</v>
      </c>
      <c r="AC80" s="52"/>
      <c r="AE80" s="57" t="s">
        <v>83</v>
      </c>
      <c r="AF80" s="57">
        <f>28.84*4.4</f>
        <v>126.89600000000002</v>
      </c>
      <c r="AH80" s="57">
        <v>76</v>
      </c>
      <c r="AI80" s="58"/>
      <c r="AK80" s="57">
        <f t="shared" si="16"/>
        <v>608</v>
      </c>
      <c r="AP80" s="57">
        <v>1</v>
      </c>
      <c r="AQ80" s="59" t="s">
        <v>361</v>
      </c>
      <c r="AR80" s="60">
        <v>180.8295</v>
      </c>
      <c r="AS80" s="60">
        <v>723.31799999999998</v>
      </c>
    </row>
    <row r="81" spans="2:45" s="57" customFormat="1" ht="22.5">
      <c r="B81" s="46" t="s">
        <v>362</v>
      </c>
      <c r="C81" s="63" t="s">
        <v>363</v>
      </c>
      <c r="D81" s="63" t="s">
        <v>291</v>
      </c>
      <c r="E81" s="63" t="s">
        <v>364</v>
      </c>
      <c r="F81" s="63" t="s">
        <v>365</v>
      </c>
      <c r="G81" s="80">
        <v>10</v>
      </c>
      <c r="H81" s="65">
        <f>ROUND(O81*1.1,2)</f>
        <v>47.98</v>
      </c>
      <c r="I81" s="49">
        <f t="shared" si="3"/>
        <v>479.79999999999995</v>
      </c>
      <c r="J81" s="50">
        <v>0.23</v>
      </c>
      <c r="K81" s="51">
        <f t="shared" si="13"/>
        <v>110.35400000000004</v>
      </c>
      <c r="L81" s="51">
        <f t="shared" si="5"/>
        <v>590.154</v>
      </c>
      <c r="M81" s="52"/>
      <c r="N81" s="53" t="s">
        <v>50</v>
      </c>
      <c r="O81" s="52">
        <v>43.62</v>
      </c>
      <c r="P81" s="54" t="s">
        <v>64</v>
      </c>
      <c r="Q81" s="54">
        <f>54.49*2.5</f>
        <v>136.22499999999999</v>
      </c>
      <c r="R81" s="55"/>
      <c r="S81" s="54">
        <v>48</v>
      </c>
      <c r="T81" s="56">
        <f t="shared" si="14"/>
        <v>480</v>
      </c>
      <c r="U81" s="52">
        <v>10</v>
      </c>
      <c r="V81" s="52">
        <v>40.020000000000003</v>
      </c>
      <c r="W81" s="52">
        <f>ROUND(AH81*1.1,2)</f>
        <v>40.020000000000003</v>
      </c>
      <c r="X81" s="52">
        <f t="shared" ref="X81:X145" si="17">W81*G81</f>
        <v>400.20000000000005</v>
      </c>
      <c r="Y81" s="52">
        <v>0.1</v>
      </c>
      <c r="Z81" s="52">
        <v>44.22</v>
      </c>
      <c r="AA81" s="52">
        <f t="shared" ref="AA81:AA145" si="18">Z81*G81</f>
        <v>442.2</v>
      </c>
      <c r="AB81" s="52"/>
      <c r="AC81" s="52"/>
      <c r="AE81" s="57" t="s">
        <v>52</v>
      </c>
      <c r="AH81" s="57">
        <v>36.380000000000003</v>
      </c>
      <c r="AI81" s="58">
        <v>0</v>
      </c>
      <c r="AK81" s="57">
        <f t="shared" si="16"/>
        <v>363.8</v>
      </c>
      <c r="AP81" s="57">
        <v>0</v>
      </c>
      <c r="AQ81" s="59" t="s">
        <v>366</v>
      </c>
      <c r="AR81" s="60">
        <v>134.42949999999999</v>
      </c>
      <c r="AS81" s="60">
        <v>268.85899999999998</v>
      </c>
    </row>
    <row r="82" spans="2:45" s="57" customFormat="1">
      <c r="B82" s="46" t="s">
        <v>367</v>
      </c>
      <c r="C82" s="64" t="s">
        <v>368</v>
      </c>
      <c r="D82" s="64" t="s">
        <v>47</v>
      </c>
      <c r="E82" s="64" t="s">
        <v>56</v>
      </c>
      <c r="F82" s="64" t="s">
        <v>369</v>
      </c>
      <c r="G82" s="77">
        <v>6</v>
      </c>
      <c r="H82" s="65">
        <f t="shared" si="15"/>
        <v>54.48</v>
      </c>
      <c r="I82" s="49">
        <f t="shared" ref="I82:I146" si="19">H82*G82</f>
        <v>326.88</v>
      </c>
      <c r="J82" s="50">
        <v>0.23</v>
      </c>
      <c r="K82" s="51">
        <f t="shared" si="13"/>
        <v>75.18240000000003</v>
      </c>
      <c r="L82" s="51">
        <f t="shared" ref="L82:L145" si="20">I82+I82*J82</f>
        <v>402.06240000000003</v>
      </c>
      <c r="M82" s="52"/>
      <c r="N82" s="53" t="s">
        <v>50</v>
      </c>
      <c r="O82" s="52">
        <v>36.32</v>
      </c>
      <c r="P82" s="54" t="s">
        <v>64</v>
      </c>
      <c r="Q82" s="54">
        <v>39.159999999999997</v>
      </c>
      <c r="R82" s="55">
        <v>35</v>
      </c>
      <c r="S82" s="54">
        <v>40</v>
      </c>
      <c r="T82" s="56">
        <f t="shared" si="14"/>
        <v>240</v>
      </c>
      <c r="U82" s="52">
        <v>6</v>
      </c>
      <c r="V82" s="52">
        <v>42.9</v>
      </c>
      <c r="W82" s="52">
        <f t="shared" ref="W82:W144" si="21">ROUND(AH82*1.3,2)</f>
        <v>42.9</v>
      </c>
      <c r="X82" s="52">
        <f t="shared" si="17"/>
        <v>257.39999999999998</v>
      </c>
      <c r="Y82" s="52"/>
      <c r="Z82" s="52">
        <v>41.89</v>
      </c>
      <c r="AA82" s="52">
        <f t="shared" si="18"/>
        <v>251.34</v>
      </c>
      <c r="AB82" s="52"/>
      <c r="AC82" s="52"/>
      <c r="AE82" s="57" t="s">
        <v>52</v>
      </c>
      <c r="AH82" s="57">
        <v>33</v>
      </c>
      <c r="AI82" s="58">
        <v>3</v>
      </c>
      <c r="AK82" s="57">
        <f t="shared" si="16"/>
        <v>198</v>
      </c>
      <c r="AP82" s="57">
        <v>0</v>
      </c>
      <c r="AQ82" s="59" t="s">
        <v>370</v>
      </c>
      <c r="AR82" s="60">
        <v>34.118499999999997</v>
      </c>
      <c r="AS82" s="60">
        <v>68.236999999999995</v>
      </c>
    </row>
    <row r="83" spans="2:45" s="57" customFormat="1">
      <c r="B83" s="46" t="s">
        <v>371</v>
      </c>
      <c r="C83" s="64" t="s">
        <v>372</v>
      </c>
      <c r="D83" s="64" t="s">
        <v>112</v>
      </c>
      <c r="E83" s="64" t="s">
        <v>56</v>
      </c>
      <c r="F83" s="64" t="s">
        <v>373</v>
      </c>
      <c r="G83" s="47">
        <v>1</v>
      </c>
      <c r="H83" s="65">
        <f>ROUND(O83*1.2,2)</f>
        <v>139.22999999999999</v>
      </c>
      <c r="I83" s="49">
        <f t="shared" si="19"/>
        <v>139.22999999999999</v>
      </c>
      <c r="J83" s="50">
        <v>0.23</v>
      </c>
      <c r="K83" s="51">
        <f t="shared" si="13"/>
        <v>32.022899999999993</v>
      </c>
      <c r="L83" s="51">
        <f t="shared" si="20"/>
        <v>171.25289999999998</v>
      </c>
      <c r="M83" s="52"/>
      <c r="N83" s="53" t="s">
        <v>134</v>
      </c>
      <c r="O83" s="52">
        <f>29.3*4.5*0.88</f>
        <v>116.02799999999999</v>
      </c>
      <c r="P83" s="54" t="s">
        <v>24</v>
      </c>
      <c r="Q83" s="54"/>
      <c r="R83" s="55"/>
      <c r="S83" s="54">
        <v>125</v>
      </c>
      <c r="T83" s="56">
        <f t="shared" si="14"/>
        <v>125</v>
      </c>
      <c r="U83" s="52">
        <v>1</v>
      </c>
      <c r="V83" s="52">
        <v>128.16</v>
      </c>
      <c r="W83" s="52">
        <f>ROUND(AH83*1.1,2)</f>
        <v>128.16</v>
      </c>
      <c r="X83" s="52">
        <f t="shared" si="17"/>
        <v>128.16</v>
      </c>
      <c r="Y83" s="52">
        <v>0.1</v>
      </c>
      <c r="Z83" s="52">
        <v>116.23</v>
      </c>
      <c r="AA83" s="52">
        <f t="shared" si="18"/>
        <v>116.23</v>
      </c>
      <c r="AB83" s="52"/>
      <c r="AC83" s="52"/>
      <c r="AE83" s="57" t="s">
        <v>137</v>
      </c>
      <c r="AH83" s="57">
        <v>116.51</v>
      </c>
      <c r="AI83" s="58">
        <v>0</v>
      </c>
      <c r="AK83" s="57">
        <f t="shared" si="16"/>
        <v>116.51</v>
      </c>
      <c r="AP83" s="57">
        <v>0</v>
      </c>
      <c r="AQ83" s="59" t="s">
        <v>374</v>
      </c>
      <c r="AR83" s="60">
        <v>24.142499999999998</v>
      </c>
      <c r="AS83" s="60">
        <v>168.9975</v>
      </c>
    </row>
    <row r="84" spans="2:45" s="57" customFormat="1">
      <c r="B84" s="46" t="s">
        <v>375</v>
      </c>
      <c r="C84" s="46" t="s">
        <v>376</v>
      </c>
      <c r="D84" s="66" t="s">
        <v>87</v>
      </c>
      <c r="E84" s="46" t="s">
        <v>88</v>
      </c>
      <c r="F84" s="46" t="s">
        <v>377</v>
      </c>
      <c r="G84" s="67">
        <v>2</v>
      </c>
      <c r="H84" s="48">
        <f>ROUND(O84*1.3,2)</f>
        <v>125.58</v>
      </c>
      <c r="I84" s="49">
        <f t="shared" si="19"/>
        <v>251.16</v>
      </c>
      <c r="J84" s="50">
        <v>0.08</v>
      </c>
      <c r="K84" s="51">
        <f t="shared" si="13"/>
        <v>20.092799999999983</v>
      </c>
      <c r="L84" s="51">
        <f t="shared" si="20"/>
        <v>271.25279999999998</v>
      </c>
      <c r="M84" s="52"/>
      <c r="N84" s="53" t="s">
        <v>185</v>
      </c>
      <c r="O84" s="52">
        <v>96.6</v>
      </c>
      <c r="P84" s="54" t="s">
        <v>24</v>
      </c>
      <c r="Q84" s="54"/>
      <c r="R84" s="55">
        <v>3</v>
      </c>
      <c r="S84" s="54">
        <v>100</v>
      </c>
      <c r="T84" s="56">
        <f t="shared" si="14"/>
        <v>200</v>
      </c>
      <c r="U84" s="52">
        <v>2</v>
      </c>
      <c r="V84" s="52">
        <v>118.16</v>
      </c>
      <c r="W84" s="52">
        <f t="shared" si="21"/>
        <v>118.16</v>
      </c>
      <c r="X84" s="52">
        <f t="shared" si="17"/>
        <v>236.32</v>
      </c>
      <c r="Y84" s="52"/>
      <c r="Z84" s="52">
        <v>110.4</v>
      </c>
      <c r="AA84" s="52">
        <f t="shared" si="18"/>
        <v>220.8</v>
      </c>
      <c r="AB84" s="52"/>
      <c r="AC84" s="52"/>
      <c r="AE84" s="57" t="s">
        <v>187</v>
      </c>
      <c r="AH84" s="57">
        <v>90.89</v>
      </c>
      <c r="AI84" s="58">
        <v>0</v>
      </c>
      <c r="AK84" s="57">
        <f t="shared" si="16"/>
        <v>181.78</v>
      </c>
      <c r="AP84" s="57">
        <v>4</v>
      </c>
      <c r="AQ84" s="59">
        <v>0</v>
      </c>
      <c r="AR84" s="59">
        <v>0</v>
      </c>
      <c r="AS84" s="60">
        <v>0</v>
      </c>
    </row>
    <row r="85" spans="2:45" s="57" customFormat="1">
      <c r="B85" s="46" t="s">
        <v>378</v>
      </c>
      <c r="C85" s="46" t="s">
        <v>379</v>
      </c>
      <c r="D85" s="66" t="s">
        <v>106</v>
      </c>
      <c r="E85" s="46" t="s">
        <v>88</v>
      </c>
      <c r="F85" s="46" t="s">
        <v>380</v>
      </c>
      <c r="G85" s="67">
        <v>2</v>
      </c>
      <c r="H85" s="65">
        <f t="shared" si="15"/>
        <v>25.35</v>
      </c>
      <c r="I85" s="49">
        <f t="shared" si="19"/>
        <v>50.7</v>
      </c>
      <c r="J85" s="50">
        <v>0.08</v>
      </c>
      <c r="K85" s="51">
        <f t="shared" si="13"/>
        <v>4.0559999999999974</v>
      </c>
      <c r="L85" s="51">
        <f t="shared" si="20"/>
        <v>54.756</v>
      </c>
      <c r="M85" s="52"/>
      <c r="N85" s="53" t="s">
        <v>185</v>
      </c>
      <c r="O85" s="52">
        <v>16.899999999999999</v>
      </c>
      <c r="P85" s="54" t="s">
        <v>24</v>
      </c>
      <c r="Q85" s="54"/>
      <c r="R85" s="55">
        <v>1</v>
      </c>
      <c r="S85" s="54">
        <v>20</v>
      </c>
      <c r="T85" s="56">
        <f t="shared" si="14"/>
        <v>40</v>
      </c>
      <c r="U85" s="52">
        <v>2</v>
      </c>
      <c r="V85" s="52">
        <v>21.97</v>
      </c>
      <c r="W85" s="52">
        <f t="shared" si="21"/>
        <v>21.97</v>
      </c>
      <c r="X85" s="52">
        <f t="shared" si="17"/>
        <v>43.94</v>
      </c>
      <c r="Y85" s="52"/>
      <c r="Z85" s="52">
        <v>20.28</v>
      </c>
      <c r="AA85" s="52">
        <f t="shared" si="18"/>
        <v>40.56</v>
      </c>
      <c r="AB85" s="52"/>
      <c r="AC85" s="52"/>
      <c r="AE85" s="57" t="s">
        <v>187</v>
      </c>
      <c r="AH85" s="57">
        <v>16.899999999999999</v>
      </c>
      <c r="AI85" s="58">
        <v>0</v>
      </c>
      <c r="AK85" s="57">
        <f t="shared" si="16"/>
        <v>33.799999999999997</v>
      </c>
      <c r="AP85" s="57">
        <v>0</v>
      </c>
      <c r="AQ85" s="59">
        <v>0</v>
      </c>
      <c r="AR85" s="59">
        <v>0</v>
      </c>
      <c r="AS85" s="60">
        <v>0</v>
      </c>
    </row>
    <row r="86" spans="2:45" s="57" customFormat="1">
      <c r="B86" s="46" t="s">
        <v>381</v>
      </c>
      <c r="C86" s="46" t="s">
        <v>382</v>
      </c>
      <c r="D86" s="46" t="s">
        <v>47</v>
      </c>
      <c r="E86" s="46" t="s">
        <v>56</v>
      </c>
      <c r="F86" s="46" t="s">
        <v>383</v>
      </c>
      <c r="G86" s="76">
        <v>5</v>
      </c>
      <c r="H86" s="48">
        <f>ROUND(O86*1.2,2)</f>
        <v>47.08</v>
      </c>
      <c r="I86" s="49">
        <f t="shared" si="19"/>
        <v>235.39999999999998</v>
      </c>
      <c r="J86" s="50">
        <v>0.23</v>
      </c>
      <c r="K86" s="51">
        <f t="shared" si="13"/>
        <v>54.141999999999996</v>
      </c>
      <c r="L86" s="51">
        <f t="shared" si="20"/>
        <v>289.54199999999997</v>
      </c>
      <c r="M86" s="52"/>
      <c r="N86" s="53" t="s">
        <v>58</v>
      </c>
      <c r="O86" s="52">
        <v>39.229999999999997</v>
      </c>
      <c r="P86" s="54" t="s">
        <v>59</v>
      </c>
      <c r="Q86" s="54"/>
      <c r="R86" s="55"/>
      <c r="S86" s="54">
        <v>40</v>
      </c>
      <c r="T86" s="56">
        <f t="shared" si="14"/>
        <v>200</v>
      </c>
      <c r="U86" s="52">
        <v>5</v>
      </c>
      <c r="V86" s="52">
        <v>40.67</v>
      </c>
      <c r="W86" s="52">
        <f>ROUND(AH86*1.2,2)</f>
        <v>40.67</v>
      </c>
      <c r="X86" s="52">
        <f t="shared" si="17"/>
        <v>203.35000000000002</v>
      </c>
      <c r="Y86" s="52">
        <v>0.2</v>
      </c>
      <c r="Z86" s="52">
        <v>45.9</v>
      </c>
      <c r="AA86" s="52">
        <f t="shared" si="18"/>
        <v>229.5</v>
      </c>
      <c r="AB86" s="52"/>
      <c r="AC86" s="52"/>
      <c r="AE86" s="57" t="s">
        <v>60</v>
      </c>
      <c r="AF86" s="57">
        <v>42.36</v>
      </c>
      <c r="AG86" s="62">
        <v>0.2</v>
      </c>
      <c r="AH86" s="57">
        <f>AF86*0.8</f>
        <v>33.887999999999998</v>
      </c>
      <c r="AI86" s="58">
        <v>0</v>
      </c>
      <c r="AK86" s="57">
        <f t="shared" si="16"/>
        <v>169.44</v>
      </c>
      <c r="AP86" s="57">
        <v>5</v>
      </c>
      <c r="AQ86" s="59" t="s">
        <v>384</v>
      </c>
      <c r="AR86" s="60">
        <v>32</v>
      </c>
      <c r="AS86" s="60">
        <v>640</v>
      </c>
    </row>
    <row r="87" spans="2:45" s="57" customFormat="1">
      <c r="B87" s="46" t="s">
        <v>385</v>
      </c>
      <c r="C87" s="46" t="s">
        <v>382</v>
      </c>
      <c r="D87" s="46" t="s">
        <v>47</v>
      </c>
      <c r="E87" s="46" t="s">
        <v>56</v>
      </c>
      <c r="F87" s="46" t="s">
        <v>386</v>
      </c>
      <c r="G87" s="76">
        <v>16</v>
      </c>
      <c r="H87" s="48">
        <f t="shared" si="15"/>
        <v>37.979999999999997</v>
      </c>
      <c r="I87" s="49">
        <f t="shared" si="19"/>
        <v>607.67999999999995</v>
      </c>
      <c r="J87" s="50">
        <v>0.23</v>
      </c>
      <c r="K87" s="51">
        <f t="shared" si="13"/>
        <v>139.76639999999998</v>
      </c>
      <c r="L87" s="51">
        <f t="shared" si="20"/>
        <v>747.44639999999993</v>
      </c>
      <c r="M87" s="52" t="s">
        <v>387</v>
      </c>
      <c r="N87" s="53" t="s">
        <v>50</v>
      </c>
      <c r="O87" s="52">
        <v>25.32</v>
      </c>
      <c r="P87" s="54" t="s">
        <v>64</v>
      </c>
      <c r="Q87" s="54">
        <v>20.18</v>
      </c>
      <c r="R87" s="55">
        <v>13</v>
      </c>
      <c r="S87" s="54">
        <v>22</v>
      </c>
      <c r="T87" s="56">
        <f t="shared" si="14"/>
        <v>352</v>
      </c>
      <c r="U87" s="52">
        <v>16</v>
      </c>
      <c r="V87" s="52">
        <v>24.7</v>
      </c>
      <c r="W87" s="52">
        <f t="shared" si="21"/>
        <v>24.7</v>
      </c>
      <c r="X87" s="52">
        <f t="shared" si="17"/>
        <v>395.2</v>
      </c>
      <c r="Y87" s="52"/>
      <c r="Z87" s="52">
        <v>21.23</v>
      </c>
      <c r="AA87" s="52">
        <f t="shared" si="18"/>
        <v>339.68</v>
      </c>
      <c r="AB87" s="52"/>
      <c r="AC87" s="52"/>
      <c r="AE87" s="57" t="s">
        <v>52</v>
      </c>
      <c r="AH87" s="57">
        <v>19</v>
      </c>
      <c r="AI87" s="58">
        <v>12</v>
      </c>
      <c r="AK87" s="57">
        <f t="shared" si="16"/>
        <v>304</v>
      </c>
      <c r="AP87" s="57">
        <v>0</v>
      </c>
      <c r="AQ87" s="59">
        <v>0</v>
      </c>
      <c r="AR87" s="59">
        <v>0</v>
      </c>
      <c r="AS87" s="60">
        <v>0</v>
      </c>
    </row>
    <row r="88" spans="2:45" s="57" customFormat="1" ht="22.5">
      <c r="B88" s="46" t="s">
        <v>388</v>
      </c>
      <c r="C88" s="64" t="s">
        <v>389</v>
      </c>
      <c r="D88" s="64" t="s">
        <v>67</v>
      </c>
      <c r="E88" s="64" t="s">
        <v>68</v>
      </c>
      <c r="F88" s="64" t="s">
        <v>390</v>
      </c>
      <c r="G88" s="47">
        <v>10</v>
      </c>
      <c r="H88" s="65">
        <f>ROUND(O88*1.1,2)</f>
        <v>114</v>
      </c>
      <c r="I88" s="49">
        <f t="shared" si="19"/>
        <v>1140</v>
      </c>
      <c r="J88" s="50">
        <v>0.23</v>
      </c>
      <c r="K88" s="51">
        <f t="shared" si="13"/>
        <v>262.20000000000005</v>
      </c>
      <c r="L88" s="51">
        <f t="shared" si="20"/>
        <v>1402.2</v>
      </c>
      <c r="M88" s="52"/>
      <c r="N88" s="53" t="s">
        <v>50</v>
      </c>
      <c r="O88" s="52">
        <v>103.64</v>
      </c>
      <c r="P88" s="54" t="s">
        <v>64</v>
      </c>
      <c r="Q88" s="54">
        <f>65.75*2.5</f>
        <v>164.375</v>
      </c>
      <c r="R88" s="55">
        <v>2</v>
      </c>
      <c r="S88" s="54">
        <v>115</v>
      </c>
      <c r="T88" s="56">
        <f t="shared" si="14"/>
        <v>1150</v>
      </c>
      <c r="U88" s="52">
        <v>10</v>
      </c>
      <c r="V88" s="52">
        <v>90.2</v>
      </c>
      <c r="W88" s="52">
        <f>ROUND(AH88*1.1,2)</f>
        <v>90.2</v>
      </c>
      <c r="X88" s="52">
        <f t="shared" si="17"/>
        <v>902</v>
      </c>
      <c r="Y88" s="52">
        <v>0.1</v>
      </c>
      <c r="Z88" s="52">
        <v>81.34</v>
      </c>
      <c r="AA88" s="52">
        <f t="shared" si="18"/>
        <v>813.40000000000009</v>
      </c>
      <c r="AB88" s="52" t="s">
        <v>391</v>
      </c>
      <c r="AC88" s="52"/>
      <c r="AE88" s="57" t="s">
        <v>52</v>
      </c>
      <c r="AH88" s="57">
        <v>82</v>
      </c>
      <c r="AI88" s="58">
        <v>0</v>
      </c>
      <c r="AK88" s="57">
        <f t="shared" si="16"/>
        <v>820</v>
      </c>
      <c r="AP88" s="57">
        <v>0</v>
      </c>
      <c r="AQ88" s="59" t="s">
        <v>392</v>
      </c>
      <c r="AR88" s="60">
        <v>19.531500000000001</v>
      </c>
      <c r="AS88" s="60">
        <v>97.657499999999999</v>
      </c>
    </row>
    <row r="89" spans="2:45" s="57" customFormat="1" ht="22.5">
      <c r="B89" s="46" t="s">
        <v>393</v>
      </c>
      <c r="C89" s="63" t="s">
        <v>394</v>
      </c>
      <c r="D89" s="63" t="s">
        <v>291</v>
      </c>
      <c r="E89" s="63" t="s">
        <v>364</v>
      </c>
      <c r="F89" s="63" t="s">
        <v>395</v>
      </c>
      <c r="G89" s="80">
        <v>20</v>
      </c>
      <c r="H89" s="65">
        <f>ROUND(O89*1.1,2)</f>
        <v>114</v>
      </c>
      <c r="I89" s="49">
        <f t="shared" si="19"/>
        <v>2280</v>
      </c>
      <c r="J89" s="50">
        <v>0.23</v>
      </c>
      <c r="K89" s="51">
        <f t="shared" si="13"/>
        <v>524.40000000000009</v>
      </c>
      <c r="L89" s="51">
        <f t="shared" si="20"/>
        <v>2804.4</v>
      </c>
      <c r="M89" s="52"/>
      <c r="N89" s="53" t="s">
        <v>50</v>
      </c>
      <c r="O89" s="52">
        <v>103.64</v>
      </c>
      <c r="P89" s="54" t="s">
        <v>64</v>
      </c>
      <c r="Q89" s="54"/>
      <c r="R89" s="55">
        <v>2</v>
      </c>
      <c r="S89" s="54">
        <v>115</v>
      </c>
      <c r="T89" s="56">
        <f t="shared" si="14"/>
        <v>2300</v>
      </c>
      <c r="U89" s="52">
        <v>20</v>
      </c>
      <c r="V89" s="52">
        <v>95.06</v>
      </c>
      <c r="W89" s="52">
        <f>ROUND(AH89*1.1,2)</f>
        <v>95.06</v>
      </c>
      <c r="X89" s="52">
        <f t="shared" si="17"/>
        <v>1901.2</v>
      </c>
      <c r="Y89" s="52">
        <v>0.1</v>
      </c>
      <c r="Z89" s="52">
        <v>87.86</v>
      </c>
      <c r="AA89" s="52">
        <f t="shared" si="18"/>
        <v>1757.2</v>
      </c>
      <c r="AB89" s="52" t="s">
        <v>396</v>
      </c>
      <c r="AC89" s="52"/>
      <c r="AE89" s="57" t="s">
        <v>52</v>
      </c>
      <c r="AH89" s="57">
        <v>86.42</v>
      </c>
      <c r="AI89" s="58">
        <v>0</v>
      </c>
      <c r="AK89" s="57">
        <f t="shared" si="16"/>
        <v>1728.4</v>
      </c>
      <c r="AP89" s="57">
        <v>0</v>
      </c>
      <c r="AQ89" s="59" t="s">
        <v>397</v>
      </c>
      <c r="AR89" s="60">
        <v>36.380499999999998</v>
      </c>
      <c r="AS89" s="60">
        <v>72.760999999999996</v>
      </c>
    </row>
    <row r="90" spans="2:45" s="57" customFormat="1">
      <c r="B90" s="46" t="s">
        <v>398</v>
      </c>
      <c r="C90" s="64" t="s">
        <v>399</v>
      </c>
      <c r="D90" s="64" t="s">
        <v>47</v>
      </c>
      <c r="E90" s="64" t="s">
        <v>56</v>
      </c>
      <c r="F90" s="64" t="s">
        <v>400</v>
      </c>
      <c r="G90" s="77">
        <v>50</v>
      </c>
      <c r="H90" s="65">
        <f>ROUND(O90*1.3,2)</f>
        <v>24.31</v>
      </c>
      <c r="I90" s="49">
        <f t="shared" si="19"/>
        <v>1215.5</v>
      </c>
      <c r="J90" s="50">
        <v>0.23</v>
      </c>
      <c r="K90" s="51">
        <f t="shared" si="13"/>
        <v>279.56500000000005</v>
      </c>
      <c r="L90" s="51">
        <f t="shared" si="20"/>
        <v>1495.0650000000001</v>
      </c>
      <c r="M90" s="52" t="s">
        <v>401</v>
      </c>
      <c r="N90" s="53" t="s">
        <v>50</v>
      </c>
      <c r="O90" s="52">
        <v>18.7</v>
      </c>
      <c r="P90" s="54" t="s">
        <v>51</v>
      </c>
      <c r="Q90" s="54">
        <v>16.309999999999999</v>
      </c>
      <c r="R90" s="55">
        <v>25</v>
      </c>
      <c r="S90" s="54">
        <v>17</v>
      </c>
      <c r="T90" s="56">
        <f t="shared" si="14"/>
        <v>850</v>
      </c>
      <c r="U90" s="52">
        <v>80</v>
      </c>
      <c r="V90" s="52">
        <v>23.58</v>
      </c>
      <c r="W90" s="52">
        <f t="shared" si="21"/>
        <v>23.58</v>
      </c>
      <c r="X90" s="52">
        <f t="shared" si="17"/>
        <v>1179</v>
      </c>
      <c r="Y90" s="52"/>
      <c r="Z90" s="52">
        <v>16.62</v>
      </c>
      <c r="AA90" s="52">
        <f t="shared" si="18"/>
        <v>831</v>
      </c>
      <c r="AB90" s="52"/>
      <c r="AC90" s="52"/>
      <c r="AE90" s="57" t="s">
        <v>52</v>
      </c>
      <c r="AH90" s="57">
        <v>18.14</v>
      </c>
      <c r="AI90" s="58">
        <v>58</v>
      </c>
      <c r="AK90" s="57">
        <f t="shared" si="16"/>
        <v>907</v>
      </c>
      <c r="AP90" s="57">
        <v>0</v>
      </c>
      <c r="AQ90" s="59" t="s">
        <v>402</v>
      </c>
      <c r="AR90" s="60">
        <v>36.380499999999998</v>
      </c>
      <c r="AS90" s="60">
        <v>436.56599999999997</v>
      </c>
    </row>
    <row r="91" spans="2:45" s="57" customFormat="1">
      <c r="B91" s="46" t="s">
        <v>403</v>
      </c>
      <c r="C91" s="46" t="s">
        <v>399</v>
      </c>
      <c r="D91" s="46" t="s">
        <v>47</v>
      </c>
      <c r="E91" s="46" t="s">
        <v>56</v>
      </c>
      <c r="F91" s="46" t="s">
        <v>383</v>
      </c>
      <c r="G91" s="76">
        <v>5</v>
      </c>
      <c r="H91" s="48">
        <f>ROUND(O91*1.2,2)</f>
        <v>47.59</v>
      </c>
      <c r="I91" s="49">
        <f t="shared" si="19"/>
        <v>237.95000000000002</v>
      </c>
      <c r="J91" s="50">
        <v>0.23</v>
      </c>
      <c r="K91" s="51">
        <f t="shared" si="13"/>
        <v>54.728500000000025</v>
      </c>
      <c r="L91" s="51">
        <f t="shared" si="20"/>
        <v>292.67850000000004</v>
      </c>
      <c r="M91" s="52"/>
      <c r="N91" s="53" t="s">
        <v>58</v>
      </c>
      <c r="O91" s="52">
        <v>39.659999999999997</v>
      </c>
      <c r="P91" s="54" t="s">
        <v>59</v>
      </c>
      <c r="Q91" s="54"/>
      <c r="R91" s="55"/>
      <c r="S91" s="54">
        <v>40</v>
      </c>
      <c r="T91" s="56">
        <f t="shared" si="14"/>
        <v>200</v>
      </c>
      <c r="U91" s="52">
        <v>5</v>
      </c>
      <c r="V91" s="52">
        <v>40.65</v>
      </c>
      <c r="W91" s="52">
        <f>ROUND(AH91*1.2,2)</f>
        <v>40.65</v>
      </c>
      <c r="X91" s="52">
        <f t="shared" si="17"/>
        <v>203.25</v>
      </c>
      <c r="Y91" s="52">
        <v>0.2</v>
      </c>
      <c r="Z91" s="52">
        <v>43.26</v>
      </c>
      <c r="AA91" s="52">
        <f t="shared" si="18"/>
        <v>216.29999999999998</v>
      </c>
      <c r="AB91" s="52"/>
      <c r="AC91" s="52"/>
      <c r="AE91" s="57" t="s">
        <v>60</v>
      </c>
      <c r="AF91" s="57">
        <v>42.34</v>
      </c>
      <c r="AG91" s="62">
        <v>0.2</v>
      </c>
      <c r="AH91" s="57">
        <f>AF91*0.8</f>
        <v>33.872000000000007</v>
      </c>
      <c r="AI91" s="58">
        <v>1</v>
      </c>
      <c r="AK91" s="57">
        <f t="shared" si="16"/>
        <v>169.36000000000004</v>
      </c>
      <c r="AP91" s="57">
        <v>0</v>
      </c>
      <c r="AQ91" s="59" t="s">
        <v>404</v>
      </c>
      <c r="AR91" s="60">
        <v>33</v>
      </c>
      <c r="AS91" s="60">
        <v>1320</v>
      </c>
    </row>
    <row r="92" spans="2:45" s="57" customFormat="1" ht="22.5">
      <c r="B92" s="46" t="s">
        <v>405</v>
      </c>
      <c r="C92" s="64" t="s">
        <v>406</v>
      </c>
      <c r="D92" s="64" t="s">
        <v>67</v>
      </c>
      <c r="E92" s="64" t="s">
        <v>364</v>
      </c>
      <c r="F92" s="64" t="s">
        <v>407</v>
      </c>
      <c r="G92" s="47">
        <v>10</v>
      </c>
      <c r="H92" s="65">
        <f>ROUND(O92*1.1,2)</f>
        <v>107.55</v>
      </c>
      <c r="I92" s="49">
        <f t="shared" si="19"/>
        <v>1075.5</v>
      </c>
      <c r="J92" s="50">
        <v>0.23</v>
      </c>
      <c r="K92" s="51">
        <f t="shared" si="13"/>
        <v>247.36500000000001</v>
      </c>
      <c r="L92" s="51">
        <f t="shared" si="20"/>
        <v>1322.865</v>
      </c>
      <c r="M92" s="52"/>
      <c r="N92" s="53" t="s">
        <v>50</v>
      </c>
      <c r="O92" s="52">
        <v>97.77</v>
      </c>
      <c r="P92" s="54" t="s">
        <v>64</v>
      </c>
      <c r="Q92" s="54">
        <f>42.27*2.5</f>
        <v>105.67500000000001</v>
      </c>
      <c r="R92" s="55"/>
      <c r="S92" s="54">
        <v>105</v>
      </c>
      <c r="T92" s="56">
        <f t="shared" si="14"/>
        <v>1050</v>
      </c>
      <c r="U92" s="52">
        <v>10</v>
      </c>
      <c r="V92" s="52">
        <v>100.1</v>
      </c>
      <c r="W92" s="52">
        <f>ROUND(AH92*1.1,2)</f>
        <v>100.1</v>
      </c>
      <c r="X92" s="52">
        <f t="shared" si="17"/>
        <v>1001</v>
      </c>
      <c r="Y92" s="52">
        <v>0.1</v>
      </c>
      <c r="Z92" s="52">
        <v>88.02</v>
      </c>
      <c r="AA92" s="52">
        <f t="shared" si="18"/>
        <v>880.19999999999993</v>
      </c>
      <c r="AB92" s="52" t="s">
        <v>391</v>
      </c>
      <c r="AC92" s="52"/>
      <c r="AE92" s="57" t="s">
        <v>52</v>
      </c>
      <c r="AH92" s="57">
        <v>91</v>
      </c>
      <c r="AI92" s="58">
        <v>1</v>
      </c>
      <c r="AK92" s="57">
        <f t="shared" si="16"/>
        <v>910</v>
      </c>
      <c r="AP92" s="57">
        <v>0</v>
      </c>
      <c r="AQ92" s="59" t="s">
        <v>408</v>
      </c>
      <c r="AR92" s="60">
        <v>116.50749999999999</v>
      </c>
      <c r="AS92" s="60">
        <v>233.01499999999999</v>
      </c>
    </row>
    <row r="93" spans="2:45" s="57" customFormat="1">
      <c r="B93" s="46" t="s">
        <v>409</v>
      </c>
      <c r="C93" s="64" t="s">
        <v>410</v>
      </c>
      <c r="D93" s="64" t="s">
        <v>67</v>
      </c>
      <c r="E93" s="64" t="s">
        <v>68</v>
      </c>
      <c r="F93" s="64" t="s">
        <v>411</v>
      </c>
      <c r="G93" s="47">
        <v>3</v>
      </c>
      <c r="H93" s="65">
        <f>ROUND(O93*1.1,2)</f>
        <v>126.73</v>
      </c>
      <c r="I93" s="49">
        <f t="shared" si="19"/>
        <v>380.19</v>
      </c>
      <c r="J93" s="50">
        <v>0.23</v>
      </c>
      <c r="K93" s="51">
        <f t="shared" si="13"/>
        <v>87.443699999999978</v>
      </c>
      <c r="L93" s="51">
        <f t="shared" si="20"/>
        <v>467.63369999999998</v>
      </c>
      <c r="M93" s="52"/>
      <c r="N93" s="53" t="s">
        <v>50</v>
      </c>
      <c r="O93" s="52">
        <v>115.21</v>
      </c>
      <c r="P93" s="54" t="s">
        <v>64</v>
      </c>
      <c r="Q93" s="54"/>
      <c r="R93" s="55"/>
      <c r="S93" s="54">
        <v>125</v>
      </c>
      <c r="T93" s="56">
        <f t="shared" si="14"/>
        <v>375</v>
      </c>
      <c r="U93" s="52">
        <v>3</v>
      </c>
      <c r="V93" s="52">
        <v>152.9</v>
      </c>
      <c r="W93" s="52">
        <f>ROUND(AH93*1.1,2)</f>
        <v>152.9</v>
      </c>
      <c r="X93" s="52">
        <f t="shared" si="17"/>
        <v>458.70000000000005</v>
      </c>
      <c r="Y93" s="52">
        <v>0.1</v>
      </c>
      <c r="Z93" s="52">
        <v>128.35</v>
      </c>
      <c r="AA93" s="52">
        <f t="shared" si="18"/>
        <v>385.04999999999995</v>
      </c>
      <c r="AB93" s="52"/>
      <c r="AC93" s="52"/>
      <c r="AE93" s="57" t="s">
        <v>52</v>
      </c>
      <c r="AH93" s="57">
        <v>139</v>
      </c>
      <c r="AI93" s="58">
        <v>1</v>
      </c>
      <c r="AK93" s="57">
        <f t="shared" si="16"/>
        <v>417</v>
      </c>
      <c r="AP93" s="57">
        <v>0</v>
      </c>
      <c r="AQ93" s="59">
        <v>0</v>
      </c>
      <c r="AR93" s="59">
        <v>0</v>
      </c>
      <c r="AS93" s="60">
        <v>0</v>
      </c>
    </row>
    <row r="94" spans="2:45" s="57" customFormat="1">
      <c r="B94" s="46" t="s">
        <v>412</v>
      </c>
      <c r="C94" s="46" t="s">
        <v>413</v>
      </c>
      <c r="D94" s="46" t="s">
        <v>47</v>
      </c>
      <c r="E94" s="46" t="s">
        <v>56</v>
      </c>
      <c r="F94" s="46" t="s">
        <v>414</v>
      </c>
      <c r="G94" s="61">
        <v>5</v>
      </c>
      <c r="H94" s="48">
        <f t="shared" si="15"/>
        <v>87.2</v>
      </c>
      <c r="I94" s="49">
        <f t="shared" si="19"/>
        <v>436</v>
      </c>
      <c r="J94" s="50">
        <v>0.23</v>
      </c>
      <c r="K94" s="51">
        <f t="shared" si="13"/>
        <v>100.27999999999997</v>
      </c>
      <c r="L94" s="51">
        <f t="shared" si="20"/>
        <v>536.28</v>
      </c>
      <c r="M94" s="52"/>
      <c r="N94" s="53" t="s">
        <v>50</v>
      </c>
      <c r="O94" s="52">
        <v>58.13</v>
      </c>
      <c r="P94" s="54" t="s">
        <v>64</v>
      </c>
      <c r="Q94" s="54">
        <v>57</v>
      </c>
      <c r="R94" s="55">
        <v>1</v>
      </c>
      <c r="S94" s="54">
        <v>62</v>
      </c>
      <c r="T94" s="56">
        <f t="shared" si="14"/>
        <v>310</v>
      </c>
      <c r="U94" s="52">
        <v>5</v>
      </c>
      <c r="V94" s="52">
        <v>63.01</v>
      </c>
      <c r="W94" s="52">
        <f t="shared" si="21"/>
        <v>63.01</v>
      </c>
      <c r="X94" s="52">
        <f t="shared" si="17"/>
        <v>315.05</v>
      </c>
      <c r="Y94" s="52"/>
      <c r="Z94" s="52">
        <v>47.98</v>
      </c>
      <c r="AA94" s="52">
        <f t="shared" si="18"/>
        <v>239.89999999999998</v>
      </c>
      <c r="AB94" s="52"/>
      <c r="AC94" s="52"/>
      <c r="AE94" s="57" t="s">
        <v>52</v>
      </c>
      <c r="AH94" s="57">
        <v>48.47</v>
      </c>
      <c r="AI94" s="58">
        <v>2</v>
      </c>
      <c r="AK94" s="57">
        <f t="shared" si="16"/>
        <v>242.35</v>
      </c>
      <c r="AP94" s="57">
        <v>3</v>
      </c>
      <c r="AQ94" s="59">
        <v>0</v>
      </c>
      <c r="AR94" s="59">
        <v>0</v>
      </c>
      <c r="AS94" s="60">
        <v>0</v>
      </c>
    </row>
    <row r="95" spans="2:45" s="57" customFormat="1">
      <c r="B95" s="46" t="s">
        <v>415</v>
      </c>
      <c r="C95" s="46" t="s">
        <v>416</v>
      </c>
      <c r="D95" s="46" t="s">
        <v>417</v>
      </c>
      <c r="E95" s="46" t="s">
        <v>56</v>
      </c>
      <c r="F95" s="46" t="s">
        <v>418</v>
      </c>
      <c r="G95" s="61">
        <v>200</v>
      </c>
      <c r="H95" s="65">
        <f>ROUND(O95*1.25,2)</f>
        <v>45</v>
      </c>
      <c r="I95" s="49">
        <f t="shared" si="19"/>
        <v>9000</v>
      </c>
      <c r="J95" s="50">
        <v>0.23</v>
      </c>
      <c r="K95" s="51">
        <f t="shared" si="13"/>
        <v>2070</v>
      </c>
      <c r="L95" s="51">
        <f t="shared" si="20"/>
        <v>11070</v>
      </c>
      <c r="M95" s="52"/>
      <c r="N95" s="53" t="s">
        <v>50</v>
      </c>
      <c r="O95" s="52">
        <v>36</v>
      </c>
      <c r="P95" s="54" t="s">
        <v>419</v>
      </c>
      <c r="Q95" s="54"/>
      <c r="R95" s="55">
        <v>310</v>
      </c>
      <c r="S95" s="54">
        <v>38.799999999999997</v>
      </c>
      <c r="T95" s="56">
        <f t="shared" si="14"/>
        <v>7759.9999999999991</v>
      </c>
      <c r="U95" s="52">
        <v>200</v>
      </c>
      <c r="V95" s="52">
        <v>43.8</v>
      </c>
      <c r="W95" s="52">
        <f>ROUND(AH95*1.2,2)</f>
        <v>43.8</v>
      </c>
      <c r="X95" s="52">
        <f t="shared" si="17"/>
        <v>8760</v>
      </c>
      <c r="Y95" s="52">
        <v>0.2</v>
      </c>
      <c r="Z95" s="52">
        <v>42</v>
      </c>
      <c r="AA95" s="52">
        <f t="shared" si="18"/>
        <v>8400</v>
      </c>
      <c r="AB95" s="52"/>
      <c r="AC95" s="52"/>
      <c r="AD95" s="57" t="s">
        <v>420</v>
      </c>
      <c r="AE95" s="57" t="s">
        <v>52</v>
      </c>
      <c r="AH95" s="57">
        <v>36.5</v>
      </c>
      <c r="AI95" s="58">
        <v>180</v>
      </c>
      <c r="AK95" s="57">
        <f t="shared" si="16"/>
        <v>7300</v>
      </c>
      <c r="AP95" s="57">
        <v>0</v>
      </c>
      <c r="AQ95" s="59">
        <v>0</v>
      </c>
      <c r="AR95" s="59">
        <v>0</v>
      </c>
      <c r="AS95" s="60">
        <v>0</v>
      </c>
    </row>
    <row r="96" spans="2:45" s="57" customFormat="1" ht="22.5">
      <c r="B96" s="46" t="s">
        <v>421</v>
      </c>
      <c r="C96" s="46" t="s">
        <v>422</v>
      </c>
      <c r="D96" s="46" t="s">
        <v>417</v>
      </c>
      <c r="E96" s="46" t="s">
        <v>56</v>
      </c>
      <c r="F96" s="46" t="s">
        <v>423</v>
      </c>
      <c r="G96" s="61">
        <v>100</v>
      </c>
      <c r="H96" s="65">
        <f>ROUND(O96*1.3,2)</f>
        <v>50.05</v>
      </c>
      <c r="I96" s="49">
        <f t="shared" si="19"/>
        <v>5005</v>
      </c>
      <c r="J96" s="50">
        <v>0.23</v>
      </c>
      <c r="K96" s="51">
        <f t="shared" si="13"/>
        <v>1151.1499999999996</v>
      </c>
      <c r="L96" s="51">
        <f t="shared" si="20"/>
        <v>6156.15</v>
      </c>
      <c r="M96" s="52"/>
      <c r="N96" s="53" t="s">
        <v>50</v>
      </c>
      <c r="O96" s="52">
        <v>38.5</v>
      </c>
      <c r="P96" s="54" t="s">
        <v>419</v>
      </c>
      <c r="Q96" s="54"/>
      <c r="R96" s="55">
        <v>133</v>
      </c>
      <c r="S96" s="54">
        <v>41</v>
      </c>
      <c r="T96" s="56">
        <f t="shared" si="14"/>
        <v>4100</v>
      </c>
      <c r="U96" s="52">
        <v>100</v>
      </c>
      <c r="V96" s="52">
        <v>48</v>
      </c>
      <c r="W96" s="52">
        <f>ROUND(AH96*1.2,2)</f>
        <v>48</v>
      </c>
      <c r="X96" s="52">
        <f t="shared" si="17"/>
        <v>4800</v>
      </c>
      <c r="Y96" s="52"/>
      <c r="Z96" s="52">
        <v>47.4</v>
      </c>
      <c r="AA96" s="52">
        <f t="shared" si="18"/>
        <v>4740</v>
      </c>
      <c r="AB96" s="52"/>
      <c r="AC96" s="52"/>
      <c r="AD96" s="57" t="s">
        <v>420</v>
      </c>
      <c r="AE96" s="57" t="s">
        <v>52</v>
      </c>
      <c r="AH96" s="57">
        <v>40</v>
      </c>
      <c r="AI96" s="58">
        <v>81</v>
      </c>
      <c r="AK96" s="57">
        <f t="shared" si="16"/>
        <v>4000</v>
      </c>
      <c r="AP96" s="57">
        <v>0</v>
      </c>
      <c r="AQ96" s="59" t="s">
        <v>424</v>
      </c>
      <c r="AR96" s="60">
        <v>19</v>
      </c>
      <c r="AS96" s="60">
        <v>1900</v>
      </c>
    </row>
    <row r="97" spans="2:45" s="57" customFormat="1" ht="22.5">
      <c r="B97" s="46" t="s">
        <v>425</v>
      </c>
      <c r="C97" s="46" t="s">
        <v>426</v>
      </c>
      <c r="D97" s="46" t="s">
        <v>417</v>
      </c>
      <c r="E97" s="46" t="s">
        <v>427</v>
      </c>
      <c r="F97" s="46" t="s">
        <v>428</v>
      </c>
      <c r="G97" s="47">
        <v>5</v>
      </c>
      <c r="H97" s="65">
        <f>ROUND(O97*1,2)</f>
        <v>106.55</v>
      </c>
      <c r="I97" s="49">
        <f t="shared" si="19"/>
        <v>532.75</v>
      </c>
      <c r="J97" s="50">
        <v>0.23</v>
      </c>
      <c r="K97" s="51">
        <f t="shared" si="13"/>
        <v>122.53250000000003</v>
      </c>
      <c r="L97" s="51">
        <f t="shared" si="20"/>
        <v>655.28250000000003</v>
      </c>
      <c r="M97" s="52" t="s">
        <v>429</v>
      </c>
      <c r="N97" s="53" t="s">
        <v>50</v>
      </c>
      <c r="O97" s="52">
        <v>106.55</v>
      </c>
      <c r="P97" s="54" t="s">
        <v>24</v>
      </c>
      <c r="Q97" s="54"/>
      <c r="R97" s="55">
        <v>5</v>
      </c>
      <c r="S97" s="54">
        <v>60</v>
      </c>
      <c r="T97" s="56">
        <f t="shared" si="14"/>
        <v>300</v>
      </c>
      <c r="U97" s="52">
        <v>10</v>
      </c>
      <c r="V97" s="52">
        <v>72.150000000000006</v>
      </c>
      <c r="W97" s="52">
        <f t="shared" si="21"/>
        <v>72.150000000000006</v>
      </c>
      <c r="X97" s="52">
        <f t="shared" si="17"/>
        <v>360.75</v>
      </c>
      <c r="Y97" s="52"/>
      <c r="Z97" s="52">
        <v>65.319999999999993</v>
      </c>
      <c r="AA97" s="52">
        <f t="shared" si="18"/>
        <v>326.59999999999997</v>
      </c>
      <c r="AB97" s="52"/>
      <c r="AC97" s="52"/>
      <c r="AE97" s="57" t="s">
        <v>52</v>
      </c>
      <c r="AH97" s="57">
        <v>55.5</v>
      </c>
      <c r="AI97" s="58">
        <v>6</v>
      </c>
      <c r="AK97" s="57">
        <f t="shared" si="16"/>
        <v>277.5</v>
      </c>
      <c r="AP97" s="57">
        <v>0</v>
      </c>
      <c r="AQ97" s="59" t="s">
        <v>430</v>
      </c>
      <c r="AR97" s="60">
        <v>82</v>
      </c>
      <c r="AS97" s="60">
        <v>328</v>
      </c>
    </row>
    <row r="98" spans="2:45" s="57" customFormat="1">
      <c r="B98" s="46" t="s">
        <v>431</v>
      </c>
      <c r="C98" s="46" t="s">
        <v>432</v>
      </c>
      <c r="D98" s="46" t="s">
        <v>47</v>
      </c>
      <c r="E98" s="46" t="s">
        <v>56</v>
      </c>
      <c r="F98" s="46" t="s">
        <v>433</v>
      </c>
      <c r="G98" s="61">
        <v>90</v>
      </c>
      <c r="H98" s="48">
        <f t="shared" si="15"/>
        <v>17.21</v>
      </c>
      <c r="I98" s="49">
        <f t="shared" si="19"/>
        <v>1548.9</v>
      </c>
      <c r="J98" s="50">
        <v>0.23</v>
      </c>
      <c r="K98" s="51">
        <f t="shared" si="13"/>
        <v>356.24700000000007</v>
      </c>
      <c r="L98" s="51">
        <f t="shared" si="20"/>
        <v>1905.1470000000002</v>
      </c>
      <c r="M98" s="52" t="s">
        <v>434</v>
      </c>
      <c r="N98" s="53" t="s">
        <v>50</v>
      </c>
      <c r="O98" s="52">
        <v>11.47</v>
      </c>
      <c r="P98" s="54" t="s">
        <v>51</v>
      </c>
      <c r="Q98" s="54">
        <v>11.22</v>
      </c>
      <c r="R98" s="55">
        <v>47</v>
      </c>
      <c r="S98" s="54">
        <v>11</v>
      </c>
      <c r="T98" s="56">
        <f t="shared" si="14"/>
        <v>990</v>
      </c>
      <c r="U98" s="52">
        <v>90</v>
      </c>
      <c r="V98" s="52">
        <v>15.2</v>
      </c>
      <c r="W98" s="52">
        <f t="shared" si="21"/>
        <v>15.2</v>
      </c>
      <c r="X98" s="52">
        <f t="shared" si="17"/>
        <v>1368</v>
      </c>
      <c r="Y98" s="52"/>
      <c r="Z98" s="52">
        <v>12.43</v>
      </c>
      <c r="AA98" s="52">
        <f t="shared" si="18"/>
        <v>1118.7</v>
      </c>
      <c r="AB98" s="52"/>
      <c r="AC98" s="52"/>
      <c r="AE98" s="57" t="s">
        <v>52</v>
      </c>
      <c r="AH98" s="57">
        <v>11.69</v>
      </c>
      <c r="AI98" s="58">
        <v>76</v>
      </c>
      <c r="AK98" s="57">
        <f t="shared" si="16"/>
        <v>1052.0999999999999</v>
      </c>
      <c r="AP98" s="57">
        <v>0</v>
      </c>
      <c r="AQ98" s="78" t="s">
        <v>435</v>
      </c>
      <c r="AR98" s="60">
        <v>86.42</v>
      </c>
      <c r="AS98" s="60">
        <v>1037.04</v>
      </c>
    </row>
    <row r="99" spans="2:45" s="57" customFormat="1">
      <c r="B99" s="46" t="s">
        <v>436</v>
      </c>
      <c r="C99" s="46" t="s">
        <v>432</v>
      </c>
      <c r="D99" s="46" t="s">
        <v>47</v>
      </c>
      <c r="E99" s="46" t="s">
        <v>56</v>
      </c>
      <c r="F99" s="46" t="s">
        <v>383</v>
      </c>
      <c r="G99" s="61">
        <v>5</v>
      </c>
      <c r="H99" s="48">
        <f>ROUND(O99*1.2,2)</f>
        <v>37.19</v>
      </c>
      <c r="I99" s="49">
        <f t="shared" si="19"/>
        <v>185.95</v>
      </c>
      <c r="J99" s="50">
        <v>0.23</v>
      </c>
      <c r="K99" s="51">
        <f t="shared" si="13"/>
        <v>42.768499999999989</v>
      </c>
      <c r="L99" s="51">
        <f t="shared" si="20"/>
        <v>228.71849999999998</v>
      </c>
      <c r="M99" s="52"/>
      <c r="N99" s="53" t="s">
        <v>58</v>
      </c>
      <c r="O99" s="52">
        <v>30.99</v>
      </c>
      <c r="P99" s="54" t="s">
        <v>59</v>
      </c>
      <c r="Q99" s="54"/>
      <c r="R99" s="55">
        <v>5</v>
      </c>
      <c r="S99" s="54">
        <v>31</v>
      </c>
      <c r="T99" s="56">
        <f t="shared" si="14"/>
        <v>155</v>
      </c>
      <c r="U99" s="52">
        <v>5</v>
      </c>
      <c r="V99" s="52">
        <v>34.71</v>
      </c>
      <c r="W99" s="52">
        <f>ROUND(AH99*1.2,2)</f>
        <v>34.71</v>
      </c>
      <c r="X99" s="52">
        <f t="shared" si="17"/>
        <v>173.55</v>
      </c>
      <c r="Y99" s="52">
        <v>0.2</v>
      </c>
      <c r="Z99" s="52">
        <v>33.369999999999997</v>
      </c>
      <c r="AA99" s="52">
        <f t="shared" si="18"/>
        <v>166.85</v>
      </c>
      <c r="AB99" s="52"/>
      <c r="AC99" s="52"/>
      <c r="AE99" s="57" t="s">
        <v>60</v>
      </c>
      <c r="AF99" s="57">
        <v>36.159999999999997</v>
      </c>
      <c r="AG99" s="62">
        <v>0.2</v>
      </c>
      <c r="AH99" s="57">
        <f>AF99*0.8</f>
        <v>28.927999999999997</v>
      </c>
      <c r="AI99" s="58">
        <v>2</v>
      </c>
      <c r="AK99" s="57">
        <f t="shared" si="16"/>
        <v>144.63999999999999</v>
      </c>
      <c r="AP99" s="57">
        <v>12</v>
      </c>
      <c r="AQ99" s="59" t="s">
        <v>437</v>
      </c>
      <c r="AR99" s="60">
        <v>18.139499999999998</v>
      </c>
      <c r="AS99" s="60">
        <v>1813.9499999999998</v>
      </c>
    </row>
    <row r="100" spans="2:45" s="57" customFormat="1">
      <c r="B100" s="46" t="s">
        <v>438</v>
      </c>
      <c r="C100" s="46" t="s">
        <v>432</v>
      </c>
      <c r="D100" s="46" t="s">
        <v>439</v>
      </c>
      <c r="E100" s="46" t="s">
        <v>440</v>
      </c>
      <c r="F100" s="46" t="s">
        <v>441</v>
      </c>
      <c r="G100" s="61">
        <v>3</v>
      </c>
      <c r="H100" s="48">
        <f t="shared" si="15"/>
        <v>214.53</v>
      </c>
      <c r="I100" s="49">
        <f t="shared" si="19"/>
        <v>643.59</v>
      </c>
      <c r="J100" s="50">
        <v>0.23</v>
      </c>
      <c r="K100" s="51">
        <f t="shared" si="13"/>
        <v>148.02570000000003</v>
      </c>
      <c r="L100" s="51">
        <f t="shared" si="20"/>
        <v>791.61570000000006</v>
      </c>
      <c r="M100" s="52"/>
      <c r="N100" s="53" t="s">
        <v>50</v>
      </c>
      <c r="O100" s="52">
        <v>143.02000000000001</v>
      </c>
      <c r="P100" s="54" t="s">
        <v>24</v>
      </c>
      <c r="Q100" s="54">
        <f>8.41*18</f>
        <v>151.38</v>
      </c>
      <c r="R100" s="55">
        <v>1</v>
      </c>
      <c r="S100" s="54">
        <v>160</v>
      </c>
      <c r="T100" s="56">
        <f t="shared" si="14"/>
        <v>480</v>
      </c>
      <c r="U100" s="52">
        <v>3</v>
      </c>
      <c r="V100" s="52">
        <v>193.7</v>
      </c>
      <c r="W100" s="52">
        <f t="shared" si="21"/>
        <v>193.7</v>
      </c>
      <c r="X100" s="52">
        <f t="shared" si="17"/>
        <v>581.09999999999991</v>
      </c>
      <c r="Y100" s="52"/>
      <c r="Z100" s="52">
        <v>138.16</v>
      </c>
      <c r="AA100" s="52">
        <f t="shared" si="18"/>
        <v>414.48</v>
      </c>
      <c r="AB100" s="52"/>
      <c r="AC100" s="52"/>
      <c r="AE100" s="57" t="s">
        <v>52</v>
      </c>
      <c r="AH100" s="57">
        <v>149</v>
      </c>
      <c r="AI100" s="58">
        <v>1</v>
      </c>
      <c r="AK100" s="57">
        <f t="shared" si="16"/>
        <v>447</v>
      </c>
      <c r="AP100" s="57">
        <v>0</v>
      </c>
      <c r="AQ100" s="59">
        <v>0</v>
      </c>
      <c r="AR100" s="59">
        <v>0</v>
      </c>
      <c r="AS100" s="60">
        <v>0</v>
      </c>
    </row>
    <row r="101" spans="2:45" s="57" customFormat="1">
      <c r="B101" s="46" t="s">
        <v>442</v>
      </c>
      <c r="C101" s="46" t="s">
        <v>432</v>
      </c>
      <c r="D101" s="46" t="s">
        <v>291</v>
      </c>
      <c r="E101" s="46" t="s">
        <v>68</v>
      </c>
      <c r="F101" s="46" t="s">
        <v>443</v>
      </c>
      <c r="G101" s="61">
        <v>10</v>
      </c>
      <c r="H101" s="48">
        <f>ROUND(O101*1.1,2)</f>
        <v>60.67</v>
      </c>
      <c r="I101" s="49">
        <f t="shared" si="19"/>
        <v>606.70000000000005</v>
      </c>
      <c r="J101" s="50">
        <v>0.23</v>
      </c>
      <c r="K101" s="51">
        <f t="shared" si="13"/>
        <v>139.54100000000005</v>
      </c>
      <c r="L101" s="51">
        <f t="shared" si="20"/>
        <v>746.2410000000001</v>
      </c>
      <c r="M101" s="52"/>
      <c r="N101" s="53" t="s">
        <v>50</v>
      </c>
      <c r="O101" s="52">
        <f>220.6/4</f>
        <v>55.15</v>
      </c>
      <c r="P101" s="54" t="s">
        <v>51</v>
      </c>
      <c r="Q101" s="54">
        <f>45.37*2.5</f>
        <v>113.425</v>
      </c>
      <c r="R101" s="55"/>
      <c r="S101" s="54">
        <v>60</v>
      </c>
      <c r="T101" s="56">
        <f t="shared" si="14"/>
        <v>600</v>
      </c>
      <c r="U101" s="52"/>
      <c r="V101" s="52"/>
      <c r="W101" s="52"/>
      <c r="X101" s="52"/>
      <c r="Y101" s="52"/>
      <c r="Z101" s="52"/>
      <c r="AA101" s="52"/>
      <c r="AB101" s="52"/>
      <c r="AC101" s="52"/>
      <c r="AI101" s="58"/>
      <c r="AQ101" s="59"/>
      <c r="AR101" s="59"/>
      <c r="AS101" s="60"/>
    </row>
    <row r="102" spans="2:45" s="57" customFormat="1" ht="22.5">
      <c r="B102" s="46" t="s">
        <v>444</v>
      </c>
      <c r="C102" s="64" t="s">
        <v>445</v>
      </c>
      <c r="D102" s="64" t="s">
        <v>235</v>
      </c>
      <c r="E102" s="64" t="s">
        <v>56</v>
      </c>
      <c r="F102" s="64" t="s">
        <v>446</v>
      </c>
      <c r="G102" s="47">
        <v>10</v>
      </c>
      <c r="H102" s="65">
        <v>225</v>
      </c>
      <c r="I102" s="49">
        <f t="shared" si="19"/>
        <v>2250</v>
      </c>
      <c r="J102" s="50">
        <v>0.23</v>
      </c>
      <c r="K102" s="51">
        <f t="shared" si="13"/>
        <v>517.5</v>
      </c>
      <c r="L102" s="51">
        <f t="shared" si="20"/>
        <v>2767.5</v>
      </c>
      <c r="M102" s="52" t="s">
        <v>237</v>
      </c>
      <c r="N102" s="53" t="s">
        <v>114</v>
      </c>
      <c r="O102" s="52">
        <v>395.68</v>
      </c>
      <c r="P102" s="54" t="s">
        <v>24</v>
      </c>
      <c r="Q102" s="54"/>
      <c r="R102" s="55"/>
      <c r="S102" s="54">
        <v>430</v>
      </c>
      <c r="T102" s="56">
        <f t="shared" si="14"/>
        <v>4300</v>
      </c>
      <c r="U102" s="52">
        <v>5</v>
      </c>
      <c r="V102" s="52">
        <v>304.54000000000002</v>
      </c>
      <c r="W102" s="52">
        <f>ROUND(AH102*0.7,2)</f>
        <v>304.54000000000002</v>
      </c>
      <c r="X102" s="52">
        <f t="shared" si="17"/>
        <v>3045.4</v>
      </c>
      <c r="Y102" s="52" t="s">
        <v>447</v>
      </c>
      <c r="Z102" s="52">
        <v>387</v>
      </c>
      <c r="AA102" s="52">
        <f t="shared" si="18"/>
        <v>3870</v>
      </c>
      <c r="AB102" s="52" t="s">
        <v>239</v>
      </c>
      <c r="AC102" s="52"/>
      <c r="AE102" s="58" t="s">
        <v>115</v>
      </c>
      <c r="AF102" s="58">
        <v>572.45000000000005</v>
      </c>
      <c r="AG102" s="58"/>
      <c r="AH102" s="58">
        <v>435.06</v>
      </c>
      <c r="AI102" s="58" t="s">
        <v>239</v>
      </c>
      <c r="AJ102" s="58">
        <v>387</v>
      </c>
      <c r="AK102" s="57">
        <f>AJ102*G102</f>
        <v>3870</v>
      </c>
      <c r="AP102" s="57">
        <v>0</v>
      </c>
      <c r="AQ102" s="59" t="s">
        <v>448</v>
      </c>
      <c r="AR102" s="60">
        <v>91</v>
      </c>
      <c r="AS102" s="60">
        <v>364</v>
      </c>
    </row>
    <row r="103" spans="2:45" s="57" customFormat="1">
      <c r="B103" s="46" t="s">
        <v>449</v>
      </c>
      <c r="C103" s="46" t="s">
        <v>450</v>
      </c>
      <c r="D103" s="46" t="s">
        <v>112</v>
      </c>
      <c r="E103" s="46" t="s">
        <v>56</v>
      </c>
      <c r="F103" s="46" t="s">
        <v>451</v>
      </c>
      <c r="G103" s="61">
        <v>3</v>
      </c>
      <c r="H103" s="48">
        <f t="shared" si="15"/>
        <v>67.95</v>
      </c>
      <c r="I103" s="49">
        <f t="shared" si="19"/>
        <v>203.85000000000002</v>
      </c>
      <c r="J103" s="50">
        <v>0.23</v>
      </c>
      <c r="K103" s="51">
        <f t="shared" si="13"/>
        <v>46.885500000000008</v>
      </c>
      <c r="L103" s="51">
        <f t="shared" si="20"/>
        <v>250.73550000000003</v>
      </c>
      <c r="M103" s="52"/>
      <c r="N103" s="53" t="s">
        <v>50</v>
      </c>
      <c r="O103" s="52">
        <v>45.3</v>
      </c>
      <c r="P103" s="54" t="s">
        <v>64</v>
      </c>
      <c r="Q103" s="54">
        <v>42.07</v>
      </c>
      <c r="R103" s="55">
        <v>3</v>
      </c>
      <c r="S103" s="54">
        <v>46</v>
      </c>
      <c r="T103" s="56">
        <f t="shared" si="14"/>
        <v>138</v>
      </c>
      <c r="U103" s="52">
        <v>3</v>
      </c>
      <c r="V103" s="52">
        <v>41.55</v>
      </c>
      <c r="W103" s="52">
        <f>ROUND(AH103*1.1,2)</f>
        <v>41.55</v>
      </c>
      <c r="X103" s="52">
        <f t="shared" si="17"/>
        <v>124.64999999999999</v>
      </c>
      <c r="Y103" s="52"/>
      <c r="Z103" s="52">
        <v>32.299999999999997</v>
      </c>
      <c r="AA103" s="52">
        <f t="shared" si="18"/>
        <v>96.899999999999991</v>
      </c>
      <c r="AB103" s="52"/>
      <c r="AC103" s="52"/>
      <c r="AE103" s="57" t="s">
        <v>52</v>
      </c>
      <c r="AH103" s="57">
        <v>37.770000000000003</v>
      </c>
      <c r="AI103" s="58">
        <v>0</v>
      </c>
      <c r="AK103" s="57">
        <f>AH103*G103</f>
        <v>113.31</v>
      </c>
      <c r="AP103" s="57">
        <v>58</v>
      </c>
      <c r="AQ103" s="59" t="s">
        <v>452</v>
      </c>
      <c r="AR103" s="60">
        <v>139</v>
      </c>
      <c r="AS103" s="60">
        <v>1112</v>
      </c>
    </row>
    <row r="104" spans="2:45" s="57" customFormat="1" ht="22.5">
      <c r="B104" s="46" t="s">
        <v>453</v>
      </c>
      <c r="C104" s="46" t="s">
        <v>454</v>
      </c>
      <c r="D104" s="46" t="s">
        <v>455</v>
      </c>
      <c r="E104" s="46" t="s">
        <v>249</v>
      </c>
      <c r="F104" s="46" t="s">
        <v>456</v>
      </c>
      <c r="G104" s="61">
        <v>5</v>
      </c>
      <c r="H104" s="48">
        <f t="shared" si="15"/>
        <v>21.27</v>
      </c>
      <c r="I104" s="49">
        <f t="shared" si="19"/>
        <v>106.35</v>
      </c>
      <c r="J104" s="50">
        <v>0.23</v>
      </c>
      <c r="K104" s="51">
        <f t="shared" si="13"/>
        <v>24.460499999999996</v>
      </c>
      <c r="L104" s="51">
        <f t="shared" si="20"/>
        <v>130.81049999999999</v>
      </c>
      <c r="M104" s="52"/>
      <c r="N104" s="53" t="s">
        <v>114</v>
      </c>
      <c r="O104" s="52">
        <v>14.18</v>
      </c>
      <c r="P104" s="54" t="s">
        <v>24</v>
      </c>
      <c r="Q104" s="54"/>
      <c r="R104" s="55">
        <v>2</v>
      </c>
      <c r="S104" s="54">
        <v>16</v>
      </c>
      <c r="T104" s="56">
        <f t="shared" si="14"/>
        <v>80</v>
      </c>
      <c r="U104" s="52">
        <v>5</v>
      </c>
      <c r="V104" s="52">
        <v>18.43</v>
      </c>
      <c r="W104" s="52">
        <f t="shared" si="21"/>
        <v>18.43</v>
      </c>
      <c r="X104" s="52">
        <f t="shared" si="17"/>
        <v>92.15</v>
      </c>
      <c r="Y104" s="52"/>
      <c r="Z104" s="52">
        <v>16.07</v>
      </c>
      <c r="AA104" s="52">
        <f t="shared" si="18"/>
        <v>80.349999999999994</v>
      </c>
      <c r="AB104" s="52"/>
      <c r="AC104" s="52"/>
      <c r="AE104" s="57" t="s">
        <v>115</v>
      </c>
      <c r="AF104" s="57">
        <v>18.66</v>
      </c>
      <c r="AH104" s="57">
        <v>14.18</v>
      </c>
      <c r="AI104" s="58">
        <v>2</v>
      </c>
      <c r="AJ104" s="57">
        <v>13</v>
      </c>
      <c r="AK104" s="57">
        <f>AJ104*G104</f>
        <v>65</v>
      </c>
      <c r="AP104" s="57">
        <v>1</v>
      </c>
      <c r="AQ104" s="59" t="s">
        <v>457</v>
      </c>
      <c r="AR104" s="60">
        <v>48.473500000000001</v>
      </c>
      <c r="AS104" s="60">
        <v>96.947000000000003</v>
      </c>
    </row>
    <row r="105" spans="2:45" s="57" customFormat="1" ht="22.5">
      <c r="B105" s="46" t="s">
        <v>458</v>
      </c>
      <c r="C105" s="46" t="s">
        <v>459</v>
      </c>
      <c r="D105" s="46" t="s">
        <v>47</v>
      </c>
      <c r="E105" s="46" t="s">
        <v>249</v>
      </c>
      <c r="F105" s="46" t="s">
        <v>460</v>
      </c>
      <c r="G105" s="61">
        <v>2</v>
      </c>
      <c r="H105" s="48">
        <f t="shared" si="15"/>
        <v>35.54</v>
      </c>
      <c r="I105" s="49">
        <f t="shared" si="19"/>
        <v>71.08</v>
      </c>
      <c r="J105" s="50">
        <v>0.23</v>
      </c>
      <c r="K105" s="51">
        <f t="shared" si="13"/>
        <v>16.348399999999998</v>
      </c>
      <c r="L105" s="51">
        <f t="shared" si="20"/>
        <v>87.428399999999996</v>
      </c>
      <c r="M105" s="52"/>
      <c r="N105" s="53" t="s">
        <v>114</v>
      </c>
      <c r="O105" s="52">
        <v>23.69</v>
      </c>
      <c r="P105" s="54" t="s">
        <v>24</v>
      </c>
      <c r="Q105" s="54"/>
      <c r="R105" s="55">
        <v>5</v>
      </c>
      <c r="S105" s="54">
        <v>25</v>
      </c>
      <c r="T105" s="56">
        <f t="shared" si="14"/>
        <v>50</v>
      </c>
      <c r="U105" s="52">
        <v>2</v>
      </c>
      <c r="V105" s="52">
        <v>30.8</v>
      </c>
      <c r="W105" s="52">
        <f t="shared" si="21"/>
        <v>30.8</v>
      </c>
      <c r="X105" s="52">
        <f t="shared" si="17"/>
        <v>61.6</v>
      </c>
      <c r="Y105" s="52"/>
      <c r="Z105" s="52">
        <v>31.13</v>
      </c>
      <c r="AA105" s="52">
        <f t="shared" si="18"/>
        <v>62.26</v>
      </c>
      <c r="AB105" s="52"/>
      <c r="AC105" s="52"/>
      <c r="AE105" s="57" t="s">
        <v>115</v>
      </c>
      <c r="AF105" s="57">
        <v>31.17</v>
      </c>
      <c r="AH105" s="57">
        <v>23.69</v>
      </c>
      <c r="AI105" s="58">
        <v>1</v>
      </c>
      <c r="AJ105" s="57">
        <v>22</v>
      </c>
      <c r="AK105" s="57">
        <f>AJ105*G105</f>
        <v>44</v>
      </c>
      <c r="AP105" s="57">
        <v>0</v>
      </c>
      <c r="AQ105" s="59" t="s">
        <v>461</v>
      </c>
      <c r="AR105" s="60">
        <v>41</v>
      </c>
      <c r="AS105" s="60">
        <v>8200</v>
      </c>
    </row>
    <row r="106" spans="2:45" s="57" customFormat="1">
      <c r="B106" s="46" t="s">
        <v>462</v>
      </c>
      <c r="C106" s="64" t="s">
        <v>463</v>
      </c>
      <c r="D106" s="72" t="s">
        <v>248</v>
      </c>
      <c r="E106" s="64" t="s">
        <v>107</v>
      </c>
      <c r="F106" s="64" t="s">
        <v>464</v>
      </c>
      <c r="G106" s="73">
        <v>2</v>
      </c>
      <c r="H106" s="48">
        <f>ROUND(O106*1.2,2)</f>
        <v>83.33</v>
      </c>
      <c r="I106" s="49">
        <f t="shared" si="19"/>
        <v>166.66</v>
      </c>
      <c r="J106" s="50">
        <v>0.23</v>
      </c>
      <c r="K106" s="51">
        <f t="shared" si="13"/>
        <v>38.331800000000015</v>
      </c>
      <c r="L106" s="51">
        <f t="shared" si="20"/>
        <v>204.99180000000001</v>
      </c>
      <c r="M106" s="52"/>
      <c r="N106" s="53" t="s">
        <v>91</v>
      </c>
      <c r="O106" s="52">
        <v>69.44</v>
      </c>
      <c r="P106" s="54" t="s">
        <v>24</v>
      </c>
      <c r="Q106" s="54"/>
      <c r="R106" s="55"/>
      <c r="S106" s="54">
        <v>71</v>
      </c>
      <c r="T106" s="56">
        <f t="shared" si="14"/>
        <v>142</v>
      </c>
      <c r="U106" s="52">
        <v>2</v>
      </c>
      <c r="V106" s="52">
        <v>81.22</v>
      </c>
      <c r="W106" s="52">
        <f>ROUND(AH106*1.2,2)</f>
        <v>81.22</v>
      </c>
      <c r="X106" s="52">
        <f t="shared" si="17"/>
        <v>162.44</v>
      </c>
      <c r="Y106" s="52"/>
      <c r="Z106" s="52">
        <v>79.239999999999995</v>
      </c>
      <c r="AA106" s="52">
        <f t="shared" si="18"/>
        <v>158.47999999999999</v>
      </c>
      <c r="AB106" s="52"/>
      <c r="AC106" s="52"/>
      <c r="AE106" s="57" t="s">
        <v>93</v>
      </c>
      <c r="AF106" s="57">
        <v>79.62</v>
      </c>
      <c r="AG106" s="62">
        <v>0.15</v>
      </c>
      <c r="AH106" s="57">
        <v>67.680000000000007</v>
      </c>
      <c r="AI106" s="58">
        <v>0</v>
      </c>
      <c r="AK106" s="57">
        <f t="shared" ref="AK106:AK118" si="22">AH106*G106</f>
        <v>135.36000000000001</v>
      </c>
      <c r="AP106" s="57">
        <v>1</v>
      </c>
      <c r="AQ106" s="59" t="s">
        <v>465</v>
      </c>
      <c r="AR106" s="60">
        <v>49</v>
      </c>
      <c r="AS106" s="60">
        <v>1960</v>
      </c>
    </row>
    <row r="107" spans="2:45" s="57" customFormat="1" ht="22.5">
      <c r="B107" s="46" t="s">
        <v>466</v>
      </c>
      <c r="C107" s="64" t="s">
        <v>467</v>
      </c>
      <c r="D107" s="72" t="s">
        <v>253</v>
      </c>
      <c r="E107" s="64" t="s">
        <v>88</v>
      </c>
      <c r="F107" s="64" t="s">
        <v>468</v>
      </c>
      <c r="G107" s="73">
        <v>2</v>
      </c>
      <c r="H107" s="48">
        <f t="shared" si="15"/>
        <v>22.2</v>
      </c>
      <c r="I107" s="49">
        <f t="shared" si="19"/>
        <v>44.4</v>
      </c>
      <c r="J107" s="50">
        <v>0.23</v>
      </c>
      <c r="K107" s="51">
        <f t="shared" si="13"/>
        <v>10.211999999999996</v>
      </c>
      <c r="L107" s="51">
        <f t="shared" si="20"/>
        <v>54.611999999999995</v>
      </c>
      <c r="M107" s="52"/>
      <c r="N107" s="53" t="s">
        <v>114</v>
      </c>
      <c r="O107" s="52">
        <v>14.8</v>
      </c>
      <c r="P107" s="54" t="s">
        <v>24</v>
      </c>
      <c r="Q107" s="54"/>
      <c r="R107" s="55">
        <v>5</v>
      </c>
      <c r="S107" s="54">
        <v>16</v>
      </c>
      <c r="T107" s="56">
        <f t="shared" si="14"/>
        <v>32</v>
      </c>
      <c r="U107" s="52">
        <v>2</v>
      </c>
      <c r="V107" s="52">
        <v>19.239999999999998</v>
      </c>
      <c r="W107" s="52">
        <f t="shared" si="21"/>
        <v>19.239999999999998</v>
      </c>
      <c r="X107" s="52">
        <f t="shared" si="17"/>
        <v>38.479999999999997</v>
      </c>
      <c r="Y107" s="52"/>
      <c r="Z107" s="52">
        <v>16.8</v>
      </c>
      <c r="AA107" s="52">
        <f t="shared" si="18"/>
        <v>33.6</v>
      </c>
      <c r="AB107" s="52"/>
      <c r="AC107" s="52"/>
      <c r="AE107" s="57" t="s">
        <v>115</v>
      </c>
      <c r="AF107" s="57">
        <v>19.47</v>
      </c>
      <c r="AH107" s="57">
        <v>14.8</v>
      </c>
      <c r="AI107" s="58">
        <v>1</v>
      </c>
      <c r="AK107" s="57">
        <f t="shared" si="22"/>
        <v>29.6</v>
      </c>
      <c r="AP107" s="57">
        <v>2</v>
      </c>
      <c r="AQ107" s="59" t="s">
        <v>469</v>
      </c>
      <c r="AR107" s="60">
        <v>55.5</v>
      </c>
      <c r="AS107" s="60">
        <v>1110</v>
      </c>
    </row>
    <row r="108" spans="2:45" s="57" customFormat="1">
      <c r="B108" s="46" t="s">
        <v>470</v>
      </c>
      <c r="C108" s="46" t="s">
        <v>471</v>
      </c>
      <c r="D108" s="46" t="s">
        <v>47</v>
      </c>
      <c r="E108" s="46" t="s">
        <v>56</v>
      </c>
      <c r="F108" s="46" t="s">
        <v>472</v>
      </c>
      <c r="G108" s="61">
        <v>30</v>
      </c>
      <c r="H108" s="48">
        <f t="shared" si="15"/>
        <v>18.78</v>
      </c>
      <c r="I108" s="49">
        <f t="shared" si="19"/>
        <v>563.40000000000009</v>
      </c>
      <c r="J108" s="50">
        <v>0.23</v>
      </c>
      <c r="K108" s="51">
        <f t="shared" si="13"/>
        <v>129.58199999999999</v>
      </c>
      <c r="L108" s="51">
        <f t="shared" si="20"/>
        <v>692.98200000000008</v>
      </c>
      <c r="M108" s="52"/>
      <c r="N108" s="53" t="s">
        <v>50</v>
      </c>
      <c r="O108" s="52">
        <v>12.52</v>
      </c>
      <c r="P108" s="54" t="s">
        <v>64</v>
      </c>
      <c r="Q108" s="54">
        <v>9.07</v>
      </c>
      <c r="R108" s="55">
        <v>63</v>
      </c>
      <c r="S108" s="54">
        <v>10</v>
      </c>
      <c r="T108" s="56">
        <f t="shared" si="14"/>
        <v>300</v>
      </c>
      <c r="U108" s="52">
        <v>30</v>
      </c>
      <c r="V108" s="52">
        <v>15.6</v>
      </c>
      <c r="W108" s="52">
        <f t="shared" si="21"/>
        <v>15.6</v>
      </c>
      <c r="X108" s="52">
        <f t="shared" si="17"/>
        <v>468</v>
      </c>
      <c r="Y108" s="52"/>
      <c r="Z108" s="52">
        <v>14.87</v>
      </c>
      <c r="AA108" s="52">
        <f t="shared" si="18"/>
        <v>446.09999999999997</v>
      </c>
      <c r="AB108" s="52"/>
      <c r="AC108" s="52"/>
      <c r="AE108" s="57" t="s">
        <v>52</v>
      </c>
      <c r="AH108" s="57">
        <v>12</v>
      </c>
      <c r="AI108" s="58">
        <v>23</v>
      </c>
      <c r="AK108" s="57">
        <f t="shared" si="22"/>
        <v>360</v>
      </c>
      <c r="AP108" s="57">
        <v>180</v>
      </c>
      <c r="AQ108" s="59" t="s">
        <v>473</v>
      </c>
      <c r="AR108" s="60">
        <v>11.687000000000001</v>
      </c>
      <c r="AS108" s="60">
        <v>584.35</v>
      </c>
    </row>
    <row r="109" spans="2:45" s="57" customFormat="1">
      <c r="B109" s="46" t="s">
        <v>474</v>
      </c>
      <c r="C109" s="46" t="s">
        <v>475</v>
      </c>
      <c r="D109" s="46" t="s">
        <v>476</v>
      </c>
      <c r="E109" s="46" t="s">
        <v>477</v>
      </c>
      <c r="F109" s="46" t="s">
        <v>478</v>
      </c>
      <c r="G109" s="61">
        <v>2</v>
      </c>
      <c r="H109" s="48">
        <f t="shared" si="15"/>
        <v>238.31</v>
      </c>
      <c r="I109" s="49">
        <f t="shared" si="19"/>
        <v>476.62</v>
      </c>
      <c r="J109" s="50">
        <v>0.23</v>
      </c>
      <c r="K109" s="51">
        <f t="shared" si="13"/>
        <v>109.62260000000003</v>
      </c>
      <c r="L109" s="51">
        <f t="shared" si="20"/>
        <v>586.24260000000004</v>
      </c>
      <c r="M109" s="52"/>
      <c r="N109" s="53" t="s">
        <v>50</v>
      </c>
      <c r="O109" s="52">
        <v>158.87</v>
      </c>
      <c r="P109" s="54" t="s">
        <v>24</v>
      </c>
      <c r="Q109" s="54">
        <f>4.55*30</f>
        <v>136.5</v>
      </c>
      <c r="R109" s="55"/>
      <c r="S109" s="54">
        <v>150</v>
      </c>
      <c r="T109" s="56">
        <f t="shared" si="14"/>
        <v>300</v>
      </c>
      <c r="U109" s="52">
        <v>2</v>
      </c>
      <c r="V109" s="52">
        <v>197.6</v>
      </c>
      <c r="W109" s="52">
        <f t="shared" si="21"/>
        <v>197.6</v>
      </c>
      <c r="X109" s="52">
        <f t="shared" si="17"/>
        <v>395.2</v>
      </c>
      <c r="Y109" s="52"/>
      <c r="Z109" s="52">
        <v>104.76</v>
      </c>
      <c r="AA109" s="52">
        <f t="shared" si="18"/>
        <v>209.52</v>
      </c>
      <c r="AB109" s="52"/>
      <c r="AC109" s="52"/>
      <c r="AE109" s="57" t="s">
        <v>52</v>
      </c>
      <c r="AH109" s="57">
        <v>152</v>
      </c>
      <c r="AI109" s="58">
        <v>1</v>
      </c>
      <c r="AK109" s="57">
        <f t="shared" si="22"/>
        <v>304</v>
      </c>
      <c r="AP109" s="57">
        <v>81</v>
      </c>
      <c r="AQ109" s="59">
        <v>0</v>
      </c>
      <c r="AR109" s="59">
        <v>0</v>
      </c>
      <c r="AS109" s="60">
        <v>0</v>
      </c>
    </row>
    <row r="110" spans="2:45" s="57" customFormat="1" ht="22.5">
      <c r="B110" s="46" t="s">
        <v>479</v>
      </c>
      <c r="C110" s="46" t="s">
        <v>480</v>
      </c>
      <c r="D110" s="46" t="s">
        <v>106</v>
      </c>
      <c r="E110" s="46" t="s">
        <v>107</v>
      </c>
      <c r="F110" s="46" t="s">
        <v>481</v>
      </c>
      <c r="G110" s="61">
        <v>4</v>
      </c>
      <c r="H110" s="48">
        <f>ROUND(O110*1.2,2)</f>
        <v>447.4</v>
      </c>
      <c r="I110" s="49">
        <f t="shared" si="19"/>
        <v>1789.6</v>
      </c>
      <c r="J110" s="50">
        <v>0.23</v>
      </c>
      <c r="K110" s="51">
        <f t="shared" si="13"/>
        <v>411.60800000000017</v>
      </c>
      <c r="L110" s="51">
        <f t="shared" si="20"/>
        <v>2201.2080000000001</v>
      </c>
      <c r="M110" s="52"/>
      <c r="N110" s="53" t="s">
        <v>91</v>
      </c>
      <c r="O110" s="52">
        <v>372.83</v>
      </c>
      <c r="P110" s="54" t="s">
        <v>109</v>
      </c>
      <c r="Q110" s="54"/>
      <c r="R110" s="55"/>
      <c r="S110" s="54">
        <v>380</v>
      </c>
      <c r="T110" s="56">
        <f t="shared" si="14"/>
        <v>1520</v>
      </c>
      <c r="U110" s="52"/>
      <c r="V110" s="52"/>
      <c r="W110" s="52"/>
      <c r="X110" s="52"/>
      <c r="Y110" s="52"/>
      <c r="Z110" s="52"/>
      <c r="AA110" s="52"/>
      <c r="AB110" s="52"/>
      <c r="AC110" s="52"/>
      <c r="AI110" s="58"/>
      <c r="AQ110" s="59"/>
      <c r="AR110" s="59"/>
      <c r="AS110" s="60"/>
    </row>
    <row r="111" spans="2:45" s="57" customFormat="1">
      <c r="B111" s="46" t="s">
        <v>482</v>
      </c>
      <c r="C111" s="64" t="s">
        <v>483</v>
      </c>
      <c r="D111" s="64" t="s">
        <v>132</v>
      </c>
      <c r="E111" s="64" t="s">
        <v>56</v>
      </c>
      <c r="F111" s="64" t="s">
        <v>484</v>
      </c>
      <c r="G111" s="47">
        <v>1</v>
      </c>
      <c r="H111" s="65">
        <f t="shared" si="15"/>
        <v>117.38</v>
      </c>
      <c r="I111" s="49">
        <f t="shared" si="19"/>
        <v>117.38</v>
      </c>
      <c r="J111" s="50">
        <v>0.23</v>
      </c>
      <c r="K111" s="51">
        <f t="shared" si="13"/>
        <v>26.997399999999999</v>
      </c>
      <c r="L111" s="51">
        <f t="shared" si="20"/>
        <v>144.37739999999999</v>
      </c>
      <c r="M111" s="52"/>
      <c r="N111" s="53" t="s">
        <v>50</v>
      </c>
      <c r="O111" s="52">
        <v>78.25</v>
      </c>
      <c r="P111" s="54" t="s">
        <v>64</v>
      </c>
      <c r="Q111" s="54">
        <v>102.6</v>
      </c>
      <c r="R111" s="55"/>
      <c r="S111" s="54">
        <v>85</v>
      </c>
      <c r="T111" s="56">
        <f t="shared" si="14"/>
        <v>85</v>
      </c>
      <c r="U111" s="52">
        <v>1</v>
      </c>
      <c r="V111" s="52">
        <v>61.6</v>
      </c>
      <c r="W111" s="52">
        <f>ROUND(AH111*1.1,2)</f>
        <v>61.6</v>
      </c>
      <c r="X111" s="52">
        <f t="shared" si="17"/>
        <v>61.6</v>
      </c>
      <c r="Y111" s="52"/>
      <c r="Z111" s="52">
        <v>67.37</v>
      </c>
      <c r="AA111" s="52">
        <f t="shared" si="18"/>
        <v>67.37</v>
      </c>
      <c r="AB111" s="52"/>
      <c r="AC111" s="52"/>
      <c r="AE111" s="57" t="s">
        <v>52</v>
      </c>
      <c r="AH111" s="57">
        <v>56</v>
      </c>
      <c r="AI111" s="58">
        <v>0</v>
      </c>
      <c r="AK111" s="57">
        <f t="shared" si="22"/>
        <v>56</v>
      </c>
      <c r="AP111" s="57">
        <v>6</v>
      </c>
      <c r="AQ111" s="59" t="s">
        <v>485</v>
      </c>
      <c r="AR111" s="60">
        <v>149</v>
      </c>
      <c r="AS111" s="60">
        <v>596</v>
      </c>
    </row>
    <row r="112" spans="2:45" s="57" customFormat="1">
      <c r="B112" s="46" t="s">
        <v>486</v>
      </c>
      <c r="C112" s="46" t="s">
        <v>487</v>
      </c>
      <c r="D112" s="66" t="s">
        <v>106</v>
      </c>
      <c r="E112" s="46" t="s">
        <v>88</v>
      </c>
      <c r="F112" s="46" t="s">
        <v>488</v>
      </c>
      <c r="G112" s="67">
        <v>2</v>
      </c>
      <c r="H112" s="48">
        <f t="shared" si="15"/>
        <v>25.35</v>
      </c>
      <c r="I112" s="49">
        <f t="shared" si="19"/>
        <v>50.7</v>
      </c>
      <c r="J112" s="50">
        <v>0.08</v>
      </c>
      <c r="K112" s="51">
        <f t="shared" si="13"/>
        <v>4.0559999999999974</v>
      </c>
      <c r="L112" s="51">
        <f t="shared" si="20"/>
        <v>54.756</v>
      </c>
      <c r="M112" s="52"/>
      <c r="N112" s="53" t="s">
        <v>185</v>
      </c>
      <c r="O112" s="52">
        <v>16.899999999999999</v>
      </c>
      <c r="P112" s="54" t="s">
        <v>24</v>
      </c>
      <c r="Q112" s="54"/>
      <c r="R112" s="55">
        <v>1</v>
      </c>
      <c r="S112" s="54">
        <v>20</v>
      </c>
      <c r="T112" s="56">
        <f t="shared" si="14"/>
        <v>40</v>
      </c>
      <c r="U112" s="52">
        <v>2</v>
      </c>
      <c r="V112" s="52">
        <v>21.97</v>
      </c>
      <c r="W112" s="52">
        <f t="shared" si="21"/>
        <v>21.97</v>
      </c>
      <c r="X112" s="52">
        <f t="shared" si="17"/>
        <v>43.94</v>
      </c>
      <c r="Y112" s="52"/>
      <c r="Z112" s="52">
        <v>20.28</v>
      </c>
      <c r="AA112" s="52">
        <f t="shared" si="18"/>
        <v>40.56</v>
      </c>
      <c r="AB112" s="52"/>
      <c r="AC112" s="52"/>
      <c r="AD112" s="57" t="s">
        <v>186</v>
      </c>
      <c r="AE112" s="57" t="s">
        <v>187</v>
      </c>
      <c r="AH112" s="57">
        <v>16.899999999999999</v>
      </c>
      <c r="AI112" s="58">
        <v>2</v>
      </c>
      <c r="AK112" s="57">
        <f t="shared" si="22"/>
        <v>33.799999999999997</v>
      </c>
      <c r="AP112" s="57">
        <v>76</v>
      </c>
      <c r="AQ112" s="59" t="s">
        <v>489</v>
      </c>
      <c r="AR112" s="60">
        <v>37.772500000000001</v>
      </c>
      <c r="AS112" s="60">
        <v>377.72500000000002</v>
      </c>
    </row>
    <row r="113" spans="2:45" s="57" customFormat="1">
      <c r="B113" s="46" t="s">
        <v>490</v>
      </c>
      <c r="C113" s="46" t="s">
        <v>491</v>
      </c>
      <c r="D113" s="46" t="s">
        <v>47</v>
      </c>
      <c r="E113" s="46" t="s">
        <v>56</v>
      </c>
      <c r="F113" s="46" t="s">
        <v>492</v>
      </c>
      <c r="G113" s="77">
        <v>30</v>
      </c>
      <c r="H113" s="48">
        <f t="shared" si="15"/>
        <v>26.78</v>
      </c>
      <c r="I113" s="49">
        <f t="shared" si="19"/>
        <v>803.40000000000009</v>
      </c>
      <c r="J113" s="50">
        <v>0.23</v>
      </c>
      <c r="K113" s="51">
        <f t="shared" si="13"/>
        <v>184.78200000000004</v>
      </c>
      <c r="L113" s="51">
        <f t="shared" si="20"/>
        <v>988.18200000000013</v>
      </c>
      <c r="M113" s="52"/>
      <c r="N113" s="53" t="s">
        <v>50</v>
      </c>
      <c r="O113" s="52">
        <v>17.850000000000001</v>
      </c>
      <c r="P113" s="54" t="s">
        <v>51</v>
      </c>
      <c r="Q113" s="54">
        <v>14.58</v>
      </c>
      <c r="R113" s="55">
        <v>21</v>
      </c>
      <c r="S113" s="54">
        <v>16</v>
      </c>
      <c r="T113" s="56">
        <f t="shared" si="14"/>
        <v>480</v>
      </c>
      <c r="U113" s="52">
        <v>150</v>
      </c>
      <c r="V113" s="52">
        <v>32.369999999999997</v>
      </c>
      <c r="W113" s="52">
        <f t="shared" si="21"/>
        <v>32.369999999999997</v>
      </c>
      <c r="X113" s="52">
        <f t="shared" si="17"/>
        <v>971.09999999999991</v>
      </c>
      <c r="Y113" s="52"/>
      <c r="Z113" s="52">
        <v>29.2</v>
      </c>
      <c r="AA113" s="52">
        <f t="shared" si="18"/>
        <v>876</v>
      </c>
      <c r="AB113" s="52"/>
      <c r="AC113" s="52"/>
      <c r="AE113" s="57" t="s">
        <v>52</v>
      </c>
      <c r="AH113" s="57">
        <v>24.9</v>
      </c>
      <c r="AI113" s="58">
        <v>136</v>
      </c>
      <c r="AK113" s="57">
        <f t="shared" si="22"/>
        <v>747</v>
      </c>
      <c r="AP113" s="57">
        <v>2</v>
      </c>
      <c r="AQ113" s="59">
        <v>0</v>
      </c>
      <c r="AR113" s="59">
        <v>0</v>
      </c>
      <c r="AS113" s="60">
        <v>0</v>
      </c>
    </row>
    <row r="114" spans="2:45" s="57" customFormat="1">
      <c r="B114" s="46" t="s">
        <v>493</v>
      </c>
      <c r="C114" s="46" t="s">
        <v>491</v>
      </c>
      <c r="D114" s="46" t="s">
        <v>47</v>
      </c>
      <c r="E114" s="46" t="s">
        <v>56</v>
      </c>
      <c r="F114" s="46" t="s">
        <v>383</v>
      </c>
      <c r="G114" s="76">
        <v>3</v>
      </c>
      <c r="H114" s="48">
        <f>ROUND(O114*1.2,2)</f>
        <v>324.24</v>
      </c>
      <c r="I114" s="49">
        <f t="shared" si="19"/>
        <v>972.72</v>
      </c>
      <c r="J114" s="50">
        <v>0.23</v>
      </c>
      <c r="K114" s="51">
        <f t="shared" si="13"/>
        <v>223.72559999999999</v>
      </c>
      <c r="L114" s="51">
        <f t="shared" si="20"/>
        <v>1196.4456</v>
      </c>
      <c r="M114" s="52"/>
      <c r="N114" s="53" t="s">
        <v>58</v>
      </c>
      <c r="O114" s="52">
        <v>270.2</v>
      </c>
      <c r="P114" s="54" t="s">
        <v>59</v>
      </c>
      <c r="Q114" s="54"/>
      <c r="R114" s="55"/>
      <c r="S114" s="54">
        <v>271</v>
      </c>
      <c r="T114" s="56">
        <f t="shared" si="14"/>
        <v>813</v>
      </c>
      <c r="U114" s="52">
        <v>3</v>
      </c>
      <c r="V114" s="52">
        <v>32.78</v>
      </c>
      <c r="W114" s="52">
        <f t="shared" si="21"/>
        <v>32.78</v>
      </c>
      <c r="X114" s="52">
        <f t="shared" si="17"/>
        <v>98.34</v>
      </c>
      <c r="Y114" s="52"/>
      <c r="Z114" s="52">
        <v>32.619999999999997</v>
      </c>
      <c r="AA114" s="52">
        <f t="shared" si="18"/>
        <v>97.859999999999985</v>
      </c>
      <c r="AB114" s="52"/>
      <c r="AC114" s="52"/>
      <c r="AE114" s="57" t="s">
        <v>60</v>
      </c>
      <c r="AF114" s="57">
        <v>31.52</v>
      </c>
      <c r="AG114" s="62">
        <v>0.2</v>
      </c>
      <c r="AH114" s="57">
        <f>AF114*0.8</f>
        <v>25.216000000000001</v>
      </c>
      <c r="AI114" s="58">
        <v>2</v>
      </c>
      <c r="AK114" s="57">
        <f t="shared" si="22"/>
        <v>75.647999999999996</v>
      </c>
      <c r="AP114" s="57">
        <v>1</v>
      </c>
      <c r="AQ114" s="59">
        <v>0</v>
      </c>
      <c r="AR114" s="59">
        <v>0</v>
      </c>
      <c r="AS114" s="60">
        <v>0</v>
      </c>
    </row>
    <row r="115" spans="2:45" s="57" customFormat="1">
      <c r="B115" s="46" t="s">
        <v>494</v>
      </c>
      <c r="C115" s="46" t="s">
        <v>495</v>
      </c>
      <c r="D115" s="46" t="s">
        <v>496</v>
      </c>
      <c r="E115" s="46" t="s">
        <v>477</v>
      </c>
      <c r="F115" s="46" t="s">
        <v>497</v>
      </c>
      <c r="G115" s="61">
        <v>1</v>
      </c>
      <c r="H115" s="48">
        <f>ROUND(O115*1.2,2)</f>
        <v>494.06</v>
      </c>
      <c r="I115" s="49">
        <f t="shared" si="19"/>
        <v>494.06</v>
      </c>
      <c r="J115" s="50">
        <v>0.23</v>
      </c>
      <c r="K115" s="51">
        <f t="shared" si="13"/>
        <v>113.63380000000001</v>
      </c>
      <c r="L115" s="51">
        <f t="shared" si="20"/>
        <v>607.69380000000001</v>
      </c>
      <c r="M115" s="52"/>
      <c r="N115" s="53" t="s">
        <v>50</v>
      </c>
      <c r="O115" s="52">
        <v>411.72</v>
      </c>
      <c r="P115" s="54" t="s">
        <v>24</v>
      </c>
      <c r="Q115" s="54">
        <f>8.92*60</f>
        <v>535.20000000000005</v>
      </c>
      <c r="R115" s="55">
        <v>6</v>
      </c>
      <c r="S115" s="54">
        <v>420</v>
      </c>
      <c r="T115" s="56">
        <f t="shared" si="14"/>
        <v>420</v>
      </c>
      <c r="U115" s="52">
        <v>1</v>
      </c>
      <c r="V115" s="52">
        <v>437.8</v>
      </c>
      <c r="W115" s="52">
        <f>ROUND(AH115*1.1,2)</f>
        <v>437.8</v>
      </c>
      <c r="X115" s="52">
        <f t="shared" si="17"/>
        <v>437.8</v>
      </c>
      <c r="Y115" s="52">
        <v>0.1</v>
      </c>
      <c r="Z115" s="52">
        <v>421.2</v>
      </c>
      <c r="AA115" s="52">
        <f t="shared" si="18"/>
        <v>421.2</v>
      </c>
      <c r="AB115" s="52"/>
      <c r="AC115" s="52"/>
      <c r="AE115" s="57" t="s">
        <v>52</v>
      </c>
      <c r="AH115" s="57">
        <v>398</v>
      </c>
      <c r="AI115" s="58">
        <v>0</v>
      </c>
      <c r="AK115" s="57">
        <f t="shared" si="22"/>
        <v>398</v>
      </c>
      <c r="AP115" s="57">
        <v>0</v>
      </c>
      <c r="AQ115" s="59">
        <v>0</v>
      </c>
      <c r="AR115" s="60">
        <v>0</v>
      </c>
      <c r="AS115" s="60">
        <v>0</v>
      </c>
    </row>
    <row r="116" spans="2:45" s="57" customFormat="1">
      <c r="B116" s="46" t="s">
        <v>498</v>
      </c>
      <c r="C116" s="46" t="s">
        <v>495</v>
      </c>
      <c r="D116" s="46" t="s">
        <v>47</v>
      </c>
      <c r="E116" s="46" t="s">
        <v>56</v>
      </c>
      <c r="F116" s="46" t="s">
        <v>499</v>
      </c>
      <c r="G116" s="61">
        <v>10</v>
      </c>
      <c r="H116" s="48">
        <f t="shared" si="15"/>
        <v>24.54</v>
      </c>
      <c r="I116" s="49">
        <f t="shared" si="19"/>
        <v>245.39999999999998</v>
      </c>
      <c r="J116" s="50">
        <v>0.23</v>
      </c>
      <c r="K116" s="51">
        <f t="shared" si="13"/>
        <v>56.442000000000007</v>
      </c>
      <c r="L116" s="51">
        <f t="shared" si="20"/>
        <v>301.84199999999998</v>
      </c>
      <c r="M116" s="52"/>
      <c r="N116" s="53" t="s">
        <v>50</v>
      </c>
      <c r="O116" s="52">
        <v>16.36</v>
      </c>
      <c r="P116" s="54" t="s">
        <v>64</v>
      </c>
      <c r="Q116" s="54">
        <v>12.65</v>
      </c>
      <c r="R116" s="55"/>
      <c r="S116" s="54">
        <v>14</v>
      </c>
      <c r="T116" s="56">
        <f t="shared" si="14"/>
        <v>140</v>
      </c>
      <c r="U116" s="52">
        <v>35</v>
      </c>
      <c r="V116" s="52">
        <v>23.32</v>
      </c>
      <c r="W116" s="52">
        <f t="shared" si="21"/>
        <v>23.32</v>
      </c>
      <c r="X116" s="52">
        <f t="shared" si="17"/>
        <v>233.2</v>
      </c>
      <c r="Y116" s="52"/>
      <c r="Z116" s="52">
        <v>17.16</v>
      </c>
      <c r="AA116" s="52">
        <f t="shared" si="18"/>
        <v>171.6</v>
      </c>
      <c r="AB116" s="52"/>
      <c r="AC116" s="52"/>
      <c r="AE116" s="57" t="s">
        <v>52</v>
      </c>
      <c r="AH116" s="57">
        <v>17.940000000000001</v>
      </c>
      <c r="AI116" s="58">
        <v>27</v>
      </c>
      <c r="AK116" s="57">
        <f t="shared" si="22"/>
        <v>179.4</v>
      </c>
      <c r="AP116" s="57">
        <v>2</v>
      </c>
      <c r="AQ116" s="59">
        <v>0</v>
      </c>
      <c r="AR116" s="60">
        <v>0</v>
      </c>
      <c r="AS116" s="60">
        <v>0</v>
      </c>
    </row>
    <row r="117" spans="2:45" s="57" customFormat="1">
      <c r="B117" s="46" t="s">
        <v>500</v>
      </c>
      <c r="C117" s="46" t="s">
        <v>501</v>
      </c>
      <c r="D117" s="46" t="s">
        <v>47</v>
      </c>
      <c r="E117" s="46" t="s">
        <v>440</v>
      </c>
      <c r="F117" s="46" t="s">
        <v>502</v>
      </c>
      <c r="G117" s="61">
        <v>2</v>
      </c>
      <c r="H117" s="48">
        <f>ROUND(O117*1.2,2)</f>
        <v>99.11</v>
      </c>
      <c r="I117" s="49">
        <f t="shared" si="19"/>
        <v>198.22</v>
      </c>
      <c r="J117" s="50">
        <v>0.23</v>
      </c>
      <c r="K117" s="51">
        <f t="shared" si="13"/>
        <v>45.590599999999995</v>
      </c>
      <c r="L117" s="51">
        <f t="shared" si="20"/>
        <v>243.81059999999999</v>
      </c>
      <c r="M117" s="52"/>
      <c r="N117" s="53" t="s">
        <v>50</v>
      </c>
      <c r="O117" s="52">
        <v>82.59</v>
      </c>
      <c r="P117" s="54" t="s">
        <v>64</v>
      </c>
      <c r="Q117" s="54"/>
      <c r="R117" s="55"/>
      <c r="S117" s="54">
        <v>90</v>
      </c>
      <c r="T117" s="56">
        <f t="shared" si="14"/>
        <v>180</v>
      </c>
      <c r="U117" s="52">
        <v>2</v>
      </c>
      <c r="V117" s="52">
        <v>75.77</v>
      </c>
      <c r="W117" s="52">
        <f>ROUND(AH117*1.1,2)</f>
        <v>75.77</v>
      </c>
      <c r="X117" s="52">
        <f t="shared" si="17"/>
        <v>151.54</v>
      </c>
      <c r="Y117" s="52"/>
      <c r="Z117" s="52">
        <v>67.72</v>
      </c>
      <c r="AA117" s="52">
        <f t="shared" si="18"/>
        <v>135.44</v>
      </c>
      <c r="AB117" s="52"/>
      <c r="AC117" s="52"/>
      <c r="AE117" s="57" t="s">
        <v>52</v>
      </c>
      <c r="AH117" s="57">
        <v>68.88</v>
      </c>
      <c r="AI117" s="58">
        <v>0</v>
      </c>
      <c r="AK117" s="57">
        <f t="shared" si="22"/>
        <v>137.76</v>
      </c>
      <c r="AP117" s="57">
        <v>1</v>
      </c>
      <c r="AQ117" s="59" t="s">
        <v>503</v>
      </c>
      <c r="AR117" s="60">
        <v>12</v>
      </c>
      <c r="AS117" s="60">
        <v>360</v>
      </c>
    </row>
    <row r="118" spans="2:45" s="57" customFormat="1" ht="22.5">
      <c r="B118" s="46" t="s">
        <v>504</v>
      </c>
      <c r="C118" s="46" t="s">
        <v>505</v>
      </c>
      <c r="D118" s="46" t="s">
        <v>112</v>
      </c>
      <c r="E118" s="46" t="s">
        <v>56</v>
      </c>
      <c r="F118" s="46" t="s">
        <v>506</v>
      </c>
      <c r="G118" s="61">
        <v>1</v>
      </c>
      <c r="H118" s="48">
        <f t="shared" si="15"/>
        <v>64.22</v>
      </c>
      <c r="I118" s="49">
        <f t="shared" si="19"/>
        <v>64.22</v>
      </c>
      <c r="J118" s="50">
        <v>0.23</v>
      </c>
      <c r="K118" s="51">
        <f t="shared" si="13"/>
        <v>14.770600000000002</v>
      </c>
      <c r="L118" s="51">
        <f t="shared" si="20"/>
        <v>78.990600000000001</v>
      </c>
      <c r="M118" s="52"/>
      <c r="N118" s="53" t="s">
        <v>114</v>
      </c>
      <c r="O118" s="52">
        <v>42.81</v>
      </c>
      <c r="P118" s="54"/>
      <c r="Q118" s="54"/>
      <c r="R118" s="55">
        <v>1</v>
      </c>
      <c r="S118" s="54">
        <v>44</v>
      </c>
      <c r="T118" s="56">
        <f t="shared" si="14"/>
        <v>44</v>
      </c>
      <c r="U118" s="52">
        <v>1</v>
      </c>
      <c r="V118" s="52">
        <v>55.65</v>
      </c>
      <c r="W118" s="52">
        <f t="shared" si="21"/>
        <v>55.65</v>
      </c>
      <c r="X118" s="52">
        <f t="shared" si="17"/>
        <v>55.65</v>
      </c>
      <c r="Y118" s="52"/>
      <c r="Z118" s="52">
        <v>44.4</v>
      </c>
      <c r="AA118" s="52">
        <f t="shared" si="18"/>
        <v>44.4</v>
      </c>
      <c r="AB118" s="52"/>
      <c r="AC118" s="52"/>
      <c r="AE118" s="57" t="s">
        <v>115</v>
      </c>
      <c r="AF118" s="57">
        <v>56.33</v>
      </c>
      <c r="AH118" s="57">
        <v>42.81</v>
      </c>
      <c r="AI118" s="58">
        <v>1</v>
      </c>
      <c r="AK118" s="57">
        <f t="shared" si="22"/>
        <v>42.81</v>
      </c>
      <c r="AP118" s="57">
        <v>0</v>
      </c>
      <c r="AQ118" s="59" t="s">
        <v>507</v>
      </c>
      <c r="AR118" s="60">
        <v>152</v>
      </c>
      <c r="AS118" s="60">
        <v>2280</v>
      </c>
    </row>
    <row r="119" spans="2:45" s="57" customFormat="1" ht="22.5">
      <c r="B119" s="46" t="s">
        <v>508</v>
      </c>
      <c r="C119" s="46" t="s">
        <v>509</v>
      </c>
      <c r="D119" s="46" t="s">
        <v>132</v>
      </c>
      <c r="E119" s="46" t="s">
        <v>56</v>
      </c>
      <c r="F119" s="46" t="s">
        <v>510</v>
      </c>
      <c r="G119" s="61">
        <v>2</v>
      </c>
      <c r="H119" s="48">
        <f t="shared" si="15"/>
        <v>72.11</v>
      </c>
      <c r="I119" s="49">
        <f t="shared" si="19"/>
        <v>144.22</v>
      </c>
      <c r="J119" s="50">
        <v>0.23</v>
      </c>
      <c r="K119" s="51">
        <f t="shared" si="13"/>
        <v>33.170600000000007</v>
      </c>
      <c r="L119" s="51">
        <f t="shared" si="20"/>
        <v>177.39060000000001</v>
      </c>
      <c r="M119" s="52"/>
      <c r="N119" s="53" t="s">
        <v>114</v>
      </c>
      <c r="O119" s="52">
        <v>48.07</v>
      </c>
      <c r="P119" s="54"/>
      <c r="Q119" s="54"/>
      <c r="R119" s="55"/>
      <c r="S119" s="54">
        <v>52</v>
      </c>
      <c r="T119" s="56">
        <f t="shared" si="14"/>
        <v>104</v>
      </c>
      <c r="U119" s="52">
        <v>2</v>
      </c>
      <c r="V119" s="52">
        <v>62.49</v>
      </c>
      <c r="W119" s="52">
        <f t="shared" si="21"/>
        <v>62.49</v>
      </c>
      <c r="X119" s="52">
        <f t="shared" si="17"/>
        <v>124.98</v>
      </c>
      <c r="Y119" s="52"/>
      <c r="Z119" s="52">
        <v>54</v>
      </c>
      <c r="AA119" s="52">
        <f t="shared" si="18"/>
        <v>108</v>
      </c>
      <c r="AB119" s="52"/>
      <c r="AC119" s="52"/>
      <c r="AE119" s="57" t="s">
        <v>115</v>
      </c>
      <c r="AF119" s="57">
        <v>63.25</v>
      </c>
      <c r="AH119" s="57">
        <v>48.07</v>
      </c>
      <c r="AI119" s="58">
        <v>2</v>
      </c>
      <c r="AJ119" s="57">
        <v>46</v>
      </c>
      <c r="AK119" s="57">
        <f>AJ119*G119</f>
        <v>92</v>
      </c>
      <c r="AP119" s="57">
        <v>1</v>
      </c>
      <c r="AQ119" s="59" t="s">
        <v>511</v>
      </c>
      <c r="AR119" s="60">
        <v>56</v>
      </c>
      <c r="AS119" s="60">
        <v>112</v>
      </c>
    </row>
    <row r="120" spans="2:45" s="57" customFormat="1" ht="22.5">
      <c r="B120" s="46" t="s">
        <v>512</v>
      </c>
      <c r="C120" s="64" t="s">
        <v>513</v>
      </c>
      <c r="D120" s="64" t="s">
        <v>112</v>
      </c>
      <c r="E120" s="64" t="s">
        <v>56</v>
      </c>
      <c r="F120" s="64" t="s">
        <v>514</v>
      </c>
      <c r="G120" s="47">
        <v>1</v>
      </c>
      <c r="H120" s="65">
        <f t="shared" si="15"/>
        <v>168.99</v>
      </c>
      <c r="I120" s="49">
        <f t="shared" si="19"/>
        <v>168.99</v>
      </c>
      <c r="J120" s="50">
        <v>0.23</v>
      </c>
      <c r="K120" s="51">
        <f t="shared" si="13"/>
        <v>38.867700000000013</v>
      </c>
      <c r="L120" s="51">
        <f t="shared" si="20"/>
        <v>207.85770000000002</v>
      </c>
      <c r="M120" s="52"/>
      <c r="N120" s="53" t="s">
        <v>114</v>
      </c>
      <c r="O120" s="52">
        <v>112.66</v>
      </c>
      <c r="P120" s="54"/>
      <c r="Q120" s="54"/>
      <c r="R120" s="55">
        <v>1</v>
      </c>
      <c r="S120" s="54">
        <v>120</v>
      </c>
      <c r="T120" s="56">
        <f t="shared" si="14"/>
        <v>120</v>
      </c>
      <c r="U120" s="52">
        <v>1</v>
      </c>
      <c r="V120" s="52">
        <v>123.93</v>
      </c>
      <c r="W120" s="52">
        <f>ROUND(AH120*1.1,2)</f>
        <v>123.93</v>
      </c>
      <c r="X120" s="52">
        <f t="shared" si="17"/>
        <v>123.93</v>
      </c>
      <c r="Y120" s="52">
        <v>0.1</v>
      </c>
      <c r="Z120" s="52">
        <v>122.4</v>
      </c>
      <c r="AA120" s="52">
        <f t="shared" si="18"/>
        <v>122.4</v>
      </c>
      <c r="AB120" s="52"/>
      <c r="AC120" s="52"/>
      <c r="AE120" s="57" t="s">
        <v>115</v>
      </c>
      <c r="AF120" s="57">
        <v>148.24</v>
      </c>
      <c r="AH120" s="57">
        <v>112.66</v>
      </c>
      <c r="AI120" s="58">
        <v>0</v>
      </c>
      <c r="AJ120" s="57">
        <v>107</v>
      </c>
      <c r="AK120" s="57">
        <f>AJ120*G120</f>
        <v>107</v>
      </c>
      <c r="AP120" s="57">
        <v>23</v>
      </c>
      <c r="AQ120" s="59">
        <v>0</v>
      </c>
      <c r="AR120" s="59">
        <v>0</v>
      </c>
      <c r="AS120" s="60">
        <v>0</v>
      </c>
    </row>
    <row r="121" spans="2:45" s="57" customFormat="1" ht="22.5">
      <c r="B121" s="46" t="s">
        <v>515</v>
      </c>
      <c r="C121" s="46" t="s">
        <v>516</v>
      </c>
      <c r="D121" s="46" t="s">
        <v>112</v>
      </c>
      <c r="E121" s="46" t="s">
        <v>56</v>
      </c>
      <c r="F121" s="46" t="s">
        <v>517</v>
      </c>
      <c r="G121" s="61">
        <v>2</v>
      </c>
      <c r="H121" s="48">
        <f t="shared" si="15"/>
        <v>51.95</v>
      </c>
      <c r="I121" s="49">
        <f t="shared" si="19"/>
        <v>103.9</v>
      </c>
      <c r="J121" s="50">
        <v>0.23</v>
      </c>
      <c r="K121" s="51">
        <f t="shared" si="13"/>
        <v>23.897000000000006</v>
      </c>
      <c r="L121" s="51">
        <f t="shared" si="20"/>
        <v>127.79700000000001</v>
      </c>
      <c r="M121" s="52"/>
      <c r="N121" s="53" t="s">
        <v>114</v>
      </c>
      <c r="O121" s="52">
        <v>34.630000000000003</v>
      </c>
      <c r="P121" s="54"/>
      <c r="Q121" s="54"/>
      <c r="R121" s="55">
        <v>3</v>
      </c>
      <c r="S121" s="54">
        <v>37</v>
      </c>
      <c r="T121" s="56">
        <f t="shared" si="14"/>
        <v>74</v>
      </c>
      <c r="U121" s="52">
        <v>2</v>
      </c>
      <c r="V121" s="52">
        <v>45.02</v>
      </c>
      <c r="W121" s="52">
        <f t="shared" si="21"/>
        <v>45.02</v>
      </c>
      <c r="X121" s="52">
        <f t="shared" si="17"/>
        <v>90.04</v>
      </c>
      <c r="Y121" s="52"/>
      <c r="Z121" s="52">
        <v>34.799999999999997</v>
      </c>
      <c r="AA121" s="52">
        <f t="shared" si="18"/>
        <v>69.599999999999994</v>
      </c>
      <c r="AB121" s="52"/>
      <c r="AC121" s="52"/>
      <c r="AE121" s="57" t="s">
        <v>115</v>
      </c>
      <c r="AF121" s="57">
        <v>45.67</v>
      </c>
      <c r="AH121" s="57">
        <v>34.630000000000003</v>
      </c>
      <c r="AI121" s="58">
        <v>4</v>
      </c>
      <c r="AK121" s="57">
        <f t="shared" ref="AK121:AK153" si="23">AH121*G121</f>
        <v>69.260000000000005</v>
      </c>
      <c r="AP121" s="57">
        <v>1</v>
      </c>
      <c r="AQ121" s="59" t="s">
        <v>518</v>
      </c>
      <c r="AR121" s="60">
        <v>24.9</v>
      </c>
      <c r="AS121" s="60">
        <v>1245</v>
      </c>
    </row>
    <row r="122" spans="2:45" s="57" customFormat="1" ht="22.5">
      <c r="B122" s="46" t="s">
        <v>519</v>
      </c>
      <c r="C122" s="64" t="s">
        <v>520</v>
      </c>
      <c r="D122" s="64" t="s">
        <v>112</v>
      </c>
      <c r="E122" s="64" t="s">
        <v>56</v>
      </c>
      <c r="F122" s="64" t="s">
        <v>521</v>
      </c>
      <c r="G122" s="47">
        <v>4</v>
      </c>
      <c r="H122" s="48">
        <f t="shared" si="15"/>
        <v>118.11</v>
      </c>
      <c r="I122" s="49">
        <f t="shared" si="19"/>
        <v>472.44</v>
      </c>
      <c r="J122" s="50">
        <v>0.23</v>
      </c>
      <c r="K122" s="51">
        <f t="shared" si="13"/>
        <v>108.66120000000006</v>
      </c>
      <c r="L122" s="51">
        <f t="shared" si="20"/>
        <v>581.10120000000006</v>
      </c>
      <c r="M122" s="52" t="s">
        <v>324</v>
      </c>
      <c r="N122" s="53" t="s">
        <v>114</v>
      </c>
      <c r="O122" s="52">
        <v>78.739999999999995</v>
      </c>
      <c r="P122" s="54" t="s">
        <v>24</v>
      </c>
      <c r="Q122" s="54"/>
      <c r="R122" s="55"/>
      <c r="S122" s="54">
        <v>83</v>
      </c>
      <c r="T122" s="56">
        <f t="shared" si="14"/>
        <v>332</v>
      </c>
      <c r="U122" s="52">
        <v>4</v>
      </c>
      <c r="V122" s="52">
        <v>253.18</v>
      </c>
      <c r="W122" s="52">
        <f>ROUND(AH122*1.1,2)</f>
        <v>253.18</v>
      </c>
      <c r="X122" s="52">
        <f t="shared" si="17"/>
        <v>1012.72</v>
      </c>
      <c r="Y122" s="52">
        <v>0.1</v>
      </c>
      <c r="Z122" s="52">
        <v>113</v>
      </c>
      <c r="AA122" s="52">
        <f t="shared" si="18"/>
        <v>452</v>
      </c>
      <c r="AB122" s="52"/>
      <c r="AC122" s="52"/>
      <c r="AE122" s="57" t="s">
        <v>52</v>
      </c>
      <c r="AH122" s="57">
        <v>230.16</v>
      </c>
      <c r="AI122" s="58">
        <v>0</v>
      </c>
      <c r="AK122" s="57">
        <f t="shared" si="23"/>
        <v>920.64</v>
      </c>
      <c r="AP122" s="57">
        <v>0</v>
      </c>
      <c r="AQ122" s="59">
        <v>0</v>
      </c>
      <c r="AR122" s="59">
        <v>0</v>
      </c>
      <c r="AS122" s="60">
        <v>0</v>
      </c>
    </row>
    <row r="123" spans="2:45" s="57" customFormat="1">
      <c r="B123" s="46" t="s">
        <v>522</v>
      </c>
      <c r="C123" s="46" t="s">
        <v>523</v>
      </c>
      <c r="D123" s="46" t="s">
        <v>112</v>
      </c>
      <c r="E123" s="46" t="s">
        <v>56</v>
      </c>
      <c r="F123" s="46" t="s">
        <v>524</v>
      </c>
      <c r="G123" s="61">
        <v>20</v>
      </c>
      <c r="H123" s="48">
        <f>ROUND(O123*1.2,2)</f>
        <v>56.77</v>
      </c>
      <c r="I123" s="49">
        <f t="shared" si="19"/>
        <v>1135.4000000000001</v>
      </c>
      <c r="J123" s="50">
        <v>0.08</v>
      </c>
      <c r="K123" s="51">
        <f t="shared" si="13"/>
        <v>90.832000000000107</v>
      </c>
      <c r="L123" s="51">
        <f t="shared" si="20"/>
        <v>1226.2320000000002</v>
      </c>
      <c r="M123" s="52"/>
      <c r="N123" s="53" t="s">
        <v>50</v>
      </c>
      <c r="O123" s="52">
        <v>47.31</v>
      </c>
      <c r="P123" s="54" t="s">
        <v>64</v>
      </c>
      <c r="Q123" s="54">
        <v>28.15</v>
      </c>
      <c r="R123" s="55">
        <v>10</v>
      </c>
      <c r="S123" s="54">
        <v>31</v>
      </c>
      <c r="T123" s="56">
        <f t="shared" si="14"/>
        <v>620</v>
      </c>
      <c r="U123" s="52">
        <v>20</v>
      </c>
      <c r="V123" s="52">
        <v>51.29</v>
      </c>
      <c r="W123" s="52">
        <f t="shared" si="21"/>
        <v>51.29</v>
      </c>
      <c r="X123" s="52">
        <f t="shared" si="17"/>
        <v>1025.8</v>
      </c>
      <c r="Y123" s="52"/>
      <c r="Z123" s="52">
        <v>9.59</v>
      </c>
      <c r="AA123" s="52">
        <f t="shared" si="18"/>
        <v>191.8</v>
      </c>
      <c r="AB123" s="52"/>
      <c r="AC123" s="52"/>
      <c r="AE123" s="57" t="s">
        <v>52</v>
      </c>
      <c r="AH123" s="57">
        <v>39.450000000000003</v>
      </c>
      <c r="AI123" s="58">
        <v>15</v>
      </c>
      <c r="AK123" s="57">
        <f t="shared" si="23"/>
        <v>789</v>
      </c>
      <c r="AP123" s="57">
        <v>2</v>
      </c>
      <c r="AQ123" s="59" t="s">
        <v>525</v>
      </c>
      <c r="AR123" s="60">
        <v>398</v>
      </c>
      <c r="AS123" s="60">
        <v>1592</v>
      </c>
    </row>
    <row r="124" spans="2:45" s="57" customFormat="1">
      <c r="B124" s="46" t="s">
        <v>526</v>
      </c>
      <c r="C124" s="46" t="s">
        <v>527</v>
      </c>
      <c r="D124" s="46" t="s">
        <v>47</v>
      </c>
      <c r="E124" s="46" t="s">
        <v>56</v>
      </c>
      <c r="F124" s="46" t="s">
        <v>528</v>
      </c>
      <c r="G124" s="76">
        <v>75</v>
      </c>
      <c r="H124" s="48">
        <f t="shared" si="15"/>
        <v>54.45</v>
      </c>
      <c r="I124" s="49">
        <f t="shared" si="19"/>
        <v>4083.75</v>
      </c>
      <c r="J124" s="50">
        <v>0.23</v>
      </c>
      <c r="K124" s="51">
        <f t="shared" si="13"/>
        <v>939.26249999999982</v>
      </c>
      <c r="L124" s="51">
        <f t="shared" si="20"/>
        <v>5023.0124999999998</v>
      </c>
      <c r="M124" s="52"/>
      <c r="N124" s="53" t="s">
        <v>50</v>
      </c>
      <c r="O124" s="52">
        <v>36.299999999999997</v>
      </c>
      <c r="P124" s="54" t="s">
        <v>64</v>
      </c>
      <c r="Q124" s="54">
        <v>44.9</v>
      </c>
      <c r="R124" s="55">
        <v>20</v>
      </c>
      <c r="S124" s="54">
        <v>40</v>
      </c>
      <c r="T124" s="56">
        <f t="shared" si="14"/>
        <v>3000</v>
      </c>
      <c r="U124" s="52">
        <v>75</v>
      </c>
      <c r="V124" s="52">
        <v>45.5</v>
      </c>
      <c r="W124" s="52">
        <f t="shared" si="21"/>
        <v>45.5</v>
      </c>
      <c r="X124" s="52">
        <f t="shared" si="17"/>
        <v>3412.5</v>
      </c>
      <c r="Y124" s="52"/>
      <c r="Z124" s="52">
        <v>42.91</v>
      </c>
      <c r="AA124" s="52">
        <f t="shared" si="18"/>
        <v>3218.2499999999995</v>
      </c>
      <c r="AB124" s="52"/>
      <c r="AC124" s="52"/>
      <c r="AE124" s="57" t="s">
        <v>52</v>
      </c>
      <c r="AH124" s="57">
        <v>35</v>
      </c>
      <c r="AI124" s="58">
        <v>60</v>
      </c>
      <c r="AK124" s="57">
        <f t="shared" si="23"/>
        <v>2625</v>
      </c>
      <c r="AP124" s="57">
        <v>136</v>
      </c>
      <c r="AQ124" s="59" t="s">
        <v>529</v>
      </c>
      <c r="AR124" s="60">
        <v>17.936499999999999</v>
      </c>
      <c r="AS124" s="60">
        <v>538.09499999999991</v>
      </c>
    </row>
    <row r="125" spans="2:45" s="57" customFormat="1">
      <c r="B125" s="46" t="s">
        <v>530</v>
      </c>
      <c r="C125" s="64" t="s">
        <v>531</v>
      </c>
      <c r="D125" s="64" t="s">
        <v>67</v>
      </c>
      <c r="E125" s="64" t="s">
        <v>68</v>
      </c>
      <c r="F125" s="64" t="s">
        <v>532</v>
      </c>
      <c r="G125" s="47">
        <v>6</v>
      </c>
      <c r="H125" s="65">
        <f>ROUND(O125*1.3,2)</f>
        <v>163.47999999999999</v>
      </c>
      <c r="I125" s="49">
        <f t="shared" si="19"/>
        <v>980.87999999999988</v>
      </c>
      <c r="J125" s="50">
        <v>0.23</v>
      </c>
      <c r="K125" s="51">
        <f t="shared" si="13"/>
        <v>225.60239999999999</v>
      </c>
      <c r="L125" s="51">
        <f t="shared" si="20"/>
        <v>1206.4823999999999</v>
      </c>
      <c r="M125" s="52"/>
      <c r="N125" s="53" t="s">
        <v>50</v>
      </c>
      <c r="O125" s="52">
        <v>125.75</v>
      </c>
      <c r="P125" s="54" t="s">
        <v>64</v>
      </c>
      <c r="Q125" s="54">
        <f>73.28*2.5</f>
        <v>183.2</v>
      </c>
      <c r="R125" s="55">
        <v>28</v>
      </c>
      <c r="S125" s="54">
        <v>140</v>
      </c>
      <c r="T125" s="56">
        <f t="shared" si="14"/>
        <v>840</v>
      </c>
      <c r="U125" s="52">
        <v>6</v>
      </c>
      <c r="V125" s="52">
        <v>136.32</v>
      </c>
      <c r="W125" s="52">
        <f t="shared" si="21"/>
        <v>136.32</v>
      </c>
      <c r="X125" s="52">
        <f t="shared" si="17"/>
        <v>817.92</v>
      </c>
      <c r="Y125" s="52"/>
      <c r="Z125" s="52">
        <v>117.49</v>
      </c>
      <c r="AA125" s="52">
        <f t="shared" si="18"/>
        <v>704.93999999999994</v>
      </c>
      <c r="AB125" s="52"/>
      <c r="AC125" s="52"/>
      <c r="AE125" s="57" t="s">
        <v>52</v>
      </c>
      <c r="AH125" s="57">
        <v>104.86</v>
      </c>
      <c r="AI125" s="58">
        <v>4</v>
      </c>
      <c r="AK125" s="57">
        <f t="shared" si="23"/>
        <v>629.16</v>
      </c>
      <c r="AP125" s="57">
        <v>0</v>
      </c>
      <c r="AQ125" s="59">
        <v>0</v>
      </c>
      <c r="AR125" s="59">
        <v>0</v>
      </c>
      <c r="AS125" s="60">
        <v>0</v>
      </c>
    </row>
    <row r="126" spans="2:45" s="57" customFormat="1" ht="22.5">
      <c r="B126" s="46" t="s">
        <v>533</v>
      </c>
      <c r="C126" s="64" t="s">
        <v>534</v>
      </c>
      <c r="D126" s="64" t="s">
        <v>67</v>
      </c>
      <c r="E126" s="64" t="s">
        <v>364</v>
      </c>
      <c r="F126" s="64" t="s">
        <v>535</v>
      </c>
      <c r="G126" s="47">
        <v>4</v>
      </c>
      <c r="H126" s="65">
        <f>ROUND(O126*1.3,2)</f>
        <v>136.99</v>
      </c>
      <c r="I126" s="49">
        <f t="shared" si="19"/>
        <v>547.96</v>
      </c>
      <c r="J126" s="50">
        <v>0.23</v>
      </c>
      <c r="K126" s="51">
        <f t="shared" si="13"/>
        <v>126.0308</v>
      </c>
      <c r="L126" s="51">
        <f t="shared" si="20"/>
        <v>673.99080000000004</v>
      </c>
      <c r="M126" s="52"/>
      <c r="N126" s="53" t="s">
        <v>50</v>
      </c>
      <c r="O126" s="52">
        <v>105.38</v>
      </c>
      <c r="P126" s="54" t="s">
        <v>64</v>
      </c>
      <c r="Q126" s="54">
        <f>89.25*2.5</f>
        <v>223.125</v>
      </c>
      <c r="R126" s="55">
        <v>3</v>
      </c>
      <c r="S126" s="54">
        <v>115</v>
      </c>
      <c r="T126" s="56">
        <f t="shared" si="14"/>
        <v>460</v>
      </c>
      <c r="U126" s="52">
        <v>4</v>
      </c>
      <c r="V126" s="52">
        <v>93.6</v>
      </c>
      <c r="W126" s="52">
        <f t="shared" si="21"/>
        <v>93.6</v>
      </c>
      <c r="X126" s="52">
        <f t="shared" si="17"/>
        <v>374.4</v>
      </c>
      <c r="Y126" s="52"/>
      <c r="Z126" s="52">
        <v>87.77</v>
      </c>
      <c r="AA126" s="52">
        <f t="shared" si="18"/>
        <v>351.08</v>
      </c>
      <c r="AB126" s="52"/>
      <c r="AC126" s="52"/>
      <c r="AE126" s="57" t="s">
        <v>52</v>
      </c>
      <c r="AH126" s="57">
        <v>72</v>
      </c>
      <c r="AI126" s="58">
        <v>2</v>
      </c>
      <c r="AK126" s="57">
        <f t="shared" si="23"/>
        <v>288</v>
      </c>
      <c r="AP126" s="57">
        <v>27</v>
      </c>
      <c r="AQ126" s="59">
        <v>0</v>
      </c>
      <c r="AR126" s="59">
        <v>0</v>
      </c>
      <c r="AS126" s="60">
        <v>0</v>
      </c>
    </row>
    <row r="127" spans="2:45" s="57" customFormat="1" ht="33.75">
      <c r="B127" s="46" t="s">
        <v>536</v>
      </c>
      <c r="C127" s="63" t="s">
        <v>537</v>
      </c>
      <c r="D127" s="63" t="s">
        <v>291</v>
      </c>
      <c r="E127" s="63" t="s">
        <v>364</v>
      </c>
      <c r="F127" s="63" t="s">
        <v>538</v>
      </c>
      <c r="G127" s="80">
        <v>10</v>
      </c>
      <c r="H127" s="65">
        <f>ROUND(O127*1.2,2)</f>
        <v>118.84</v>
      </c>
      <c r="I127" s="49">
        <f t="shared" si="19"/>
        <v>1188.4000000000001</v>
      </c>
      <c r="J127" s="50">
        <v>0.23</v>
      </c>
      <c r="K127" s="51">
        <f t="shared" si="13"/>
        <v>273.33200000000011</v>
      </c>
      <c r="L127" s="51">
        <f t="shared" si="20"/>
        <v>1461.7320000000002</v>
      </c>
      <c r="M127" s="52"/>
      <c r="N127" s="53" t="s">
        <v>50</v>
      </c>
      <c r="O127" s="52">
        <v>99.03</v>
      </c>
      <c r="P127" s="54" t="s">
        <v>64</v>
      </c>
      <c r="Q127" s="54"/>
      <c r="R127" s="55"/>
      <c r="S127" s="54">
        <v>110</v>
      </c>
      <c r="T127" s="56">
        <f t="shared" si="14"/>
        <v>1100</v>
      </c>
      <c r="U127" s="52">
        <v>10</v>
      </c>
      <c r="V127" s="52">
        <v>144.1</v>
      </c>
      <c r="W127" s="52">
        <f>ROUND(AH127*1.1,2)</f>
        <v>144.1</v>
      </c>
      <c r="X127" s="52">
        <f t="shared" si="17"/>
        <v>1441</v>
      </c>
      <c r="Y127" s="52">
        <v>0.1</v>
      </c>
      <c r="Z127" s="52">
        <v>158.51</v>
      </c>
      <c r="AA127" s="52">
        <f t="shared" si="18"/>
        <v>1585.1</v>
      </c>
      <c r="AB127" s="52" t="s">
        <v>539</v>
      </c>
      <c r="AC127" s="52"/>
      <c r="AE127" s="57" t="s">
        <v>52</v>
      </c>
      <c r="AH127" s="57">
        <v>131</v>
      </c>
      <c r="AI127" s="58">
        <v>1</v>
      </c>
      <c r="AK127" s="57">
        <f t="shared" si="23"/>
        <v>1310</v>
      </c>
      <c r="AP127" s="57">
        <v>0</v>
      </c>
      <c r="AQ127" s="59">
        <v>0</v>
      </c>
      <c r="AR127" s="59">
        <v>0</v>
      </c>
      <c r="AS127" s="60">
        <v>0</v>
      </c>
    </row>
    <row r="128" spans="2:45" s="57" customFormat="1">
      <c r="B128" s="46" t="s">
        <v>540</v>
      </c>
      <c r="C128" s="46" t="s">
        <v>541</v>
      </c>
      <c r="D128" s="46" t="s">
        <v>47</v>
      </c>
      <c r="E128" s="46" t="s">
        <v>440</v>
      </c>
      <c r="F128" s="46" t="s">
        <v>542</v>
      </c>
      <c r="G128" s="61">
        <v>5</v>
      </c>
      <c r="H128" s="48">
        <f t="shared" si="15"/>
        <v>18.809999999999999</v>
      </c>
      <c r="I128" s="49">
        <f t="shared" si="19"/>
        <v>94.05</v>
      </c>
      <c r="J128" s="50">
        <v>0.23</v>
      </c>
      <c r="K128" s="51">
        <f t="shared" si="13"/>
        <v>21.631500000000003</v>
      </c>
      <c r="L128" s="51">
        <f t="shared" si="20"/>
        <v>115.6815</v>
      </c>
      <c r="M128" s="52"/>
      <c r="N128" s="53" t="s">
        <v>50</v>
      </c>
      <c r="O128" s="52">
        <v>12.54</v>
      </c>
      <c r="P128" s="54" t="s">
        <v>64</v>
      </c>
      <c r="Q128" s="54">
        <v>9.86</v>
      </c>
      <c r="R128" s="55"/>
      <c r="S128" s="54">
        <v>11</v>
      </c>
      <c r="T128" s="56">
        <f t="shared" si="14"/>
        <v>55</v>
      </c>
      <c r="U128" s="52">
        <v>5</v>
      </c>
      <c r="V128" s="52">
        <v>13.61</v>
      </c>
      <c r="W128" s="52">
        <f t="shared" si="21"/>
        <v>13.61</v>
      </c>
      <c r="X128" s="52">
        <f t="shared" si="17"/>
        <v>68.05</v>
      </c>
      <c r="Y128" s="52"/>
      <c r="Z128" s="52">
        <v>9.8000000000000007</v>
      </c>
      <c r="AA128" s="52">
        <f t="shared" si="18"/>
        <v>49</v>
      </c>
      <c r="AB128" s="52"/>
      <c r="AC128" s="52"/>
      <c r="AE128" s="57" t="s">
        <v>52</v>
      </c>
      <c r="AH128" s="57">
        <v>10.47</v>
      </c>
      <c r="AI128" s="58">
        <v>0</v>
      </c>
      <c r="AK128" s="57">
        <f t="shared" si="23"/>
        <v>52.35</v>
      </c>
      <c r="AP128" s="57">
        <v>1</v>
      </c>
      <c r="AQ128" s="59">
        <v>0</v>
      </c>
      <c r="AR128" s="59">
        <v>0</v>
      </c>
      <c r="AS128" s="60">
        <v>0</v>
      </c>
    </row>
    <row r="129" spans="2:45" s="57" customFormat="1">
      <c r="B129" s="46" t="s">
        <v>543</v>
      </c>
      <c r="C129" s="64" t="s">
        <v>544</v>
      </c>
      <c r="D129" s="64" t="s">
        <v>545</v>
      </c>
      <c r="E129" s="64" t="s">
        <v>546</v>
      </c>
      <c r="F129" s="64" t="s">
        <v>547</v>
      </c>
      <c r="G129" s="47">
        <v>1</v>
      </c>
      <c r="H129" s="65">
        <f>ROUND(O129*1.1,2)</f>
        <v>340.37</v>
      </c>
      <c r="I129" s="71">
        <f t="shared" si="19"/>
        <v>340.37</v>
      </c>
      <c r="J129" s="50">
        <v>0.23</v>
      </c>
      <c r="K129" s="51">
        <f t="shared" si="13"/>
        <v>78.2851</v>
      </c>
      <c r="L129" s="51">
        <f t="shared" si="20"/>
        <v>418.6551</v>
      </c>
      <c r="M129" s="52"/>
      <c r="N129" s="53" t="s">
        <v>50</v>
      </c>
      <c r="O129" s="52">
        <v>309.43</v>
      </c>
      <c r="P129" s="54" t="s">
        <v>64</v>
      </c>
      <c r="Q129" s="54"/>
      <c r="R129" s="55"/>
      <c r="S129" s="54">
        <v>340</v>
      </c>
      <c r="T129" s="56">
        <f t="shared" si="14"/>
        <v>340</v>
      </c>
      <c r="U129" s="52">
        <v>3</v>
      </c>
      <c r="V129" s="52">
        <v>352</v>
      </c>
      <c r="W129" s="52">
        <f>ROUND(AH129*1.1,2)</f>
        <v>352</v>
      </c>
      <c r="X129" s="52">
        <f t="shared" si="17"/>
        <v>352</v>
      </c>
      <c r="Y129" s="52">
        <v>0.1</v>
      </c>
      <c r="Z129" s="52">
        <v>319.68</v>
      </c>
      <c r="AA129" s="52">
        <f t="shared" si="18"/>
        <v>319.68</v>
      </c>
      <c r="AB129" s="52"/>
      <c r="AC129" s="52"/>
      <c r="AE129" s="57" t="s">
        <v>52</v>
      </c>
      <c r="AH129" s="57">
        <v>320</v>
      </c>
      <c r="AI129" s="58">
        <v>1</v>
      </c>
      <c r="AK129" s="57">
        <f t="shared" si="23"/>
        <v>320</v>
      </c>
      <c r="AP129" s="57">
        <v>2</v>
      </c>
      <c r="AQ129" s="59" t="s">
        <v>548</v>
      </c>
      <c r="AR129" s="60">
        <v>230.15849999999998</v>
      </c>
      <c r="AS129" s="60">
        <v>1841.2679999999998</v>
      </c>
    </row>
    <row r="130" spans="2:45" s="57" customFormat="1">
      <c r="B130" s="46" t="s">
        <v>549</v>
      </c>
      <c r="C130" s="64" t="s">
        <v>550</v>
      </c>
      <c r="D130" s="64" t="s">
        <v>67</v>
      </c>
      <c r="E130" s="64" t="s">
        <v>68</v>
      </c>
      <c r="F130" s="64" t="s">
        <v>551</v>
      </c>
      <c r="G130" s="47">
        <v>20</v>
      </c>
      <c r="H130" s="48">
        <f>ROUND(O130*1.05,2)</f>
        <v>161.44999999999999</v>
      </c>
      <c r="I130" s="49">
        <f t="shared" si="19"/>
        <v>3229</v>
      </c>
      <c r="J130" s="50">
        <v>0.23</v>
      </c>
      <c r="K130" s="51">
        <f t="shared" si="13"/>
        <v>742.67000000000007</v>
      </c>
      <c r="L130" s="51">
        <f t="shared" si="20"/>
        <v>3971.67</v>
      </c>
      <c r="M130" s="52"/>
      <c r="N130" s="53" t="s">
        <v>50</v>
      </c>
      <c r="O130" s="52">
        <v>153.76</v>
      </c>
      <c r="P130" s="54" t="s">
        <v>64</v>
      </c>
      <c r="Q130" s="54">
        <f>80.22*2.5</f>
        <v>200.55</v>
      </c>
      <c r="R130" s="55"/>
      <c r="S130" s="54">
        <v>170</v>
      </c>
      <c r="T130" s="56">
        <f t="shared" si="14"/>
        <v>3400</v>
      </c>
      <c r="U130" s="52">
        <v>12</v>
      </c>
      <c r="V130" s="52">
        <v>132</v>
      </c>
      <c r="W130" s="52">
        <f>ROUND(AH130*1.1,2)</f>
        <v>132</v>
      </c>
      <c r="X130" s="52">
        <f t="shared" si="17"/>
        <v>2640</v>
      </c>
      <c r="Y130" s="52"/>
      <c r="Z130" s="52">
        <v>131.33000000000001</v>
      </c>
      <c r="AA130" s="52">
        <f t="shared" si="18"/>
        <v>2626.6000000000004</v>
      </c>
      <c r="AB130" s="52" t="s">
        <v>391</v>
      </c>
      <c r="AC130" s="52"/>
      <c r="AE130" s="57" t="s">
        <v>52</v>
      </c>
      <c r="AH130" s="57">
        <v>120</v>
      </c>
      <c r="AI130" s="58">
        <v>0</v>
      </c>
      <c r="AK130" s="57">
        <f t="shared" si="23"/>
        <v>2400</v>
      </c>
      <c r="AP130" s="57">
        <v>0</v>
      </c>
      <c r="AQ130" s="59" t="s">
        <v>552</v>
      </c>
      <c r="AR130" s="60">
        <v>39.454500000000003</v>
      </c>
      <c r="AS130" s="60">
        <v>789.09</v>
      </c>
    </row>
    <row r="131" spans="2:45" s="57" customFormat="1">
      <c r="B131" s="46" t="s">
        <v>553</v>
      </c>
      <c r="C131" s="64" t="s">
        <v>554</v>
      </c>
      <c r="D131" s="64" t="s">
        <v>291</v>
      </c>
      <c r="E131" s="64" t="s">
        <v>68</v>
      </c>
      <c r="F131" s="64" t="s">
        <v>555</v>
      </c>
      <c r="G131" s="47">
        <v>20</v>
      </c>
      <c r="H131" s="48">
        <f>ROUND(O131*1.05,2)</f>
        <v>126.06</v>
      </c>
      <c r="I131" s="49">
        <f t="shared" si="19"/>
        <v>2521.1999999999998</v>
      </c>
      <c r="J131" s="50">
        <v>0.23</v>
      </c>
      <c r="K131" s="51">
        <f t="shared" si="13"/>
        <v>579.8760000000002</v>
      </c>
      <c r="L131" s="51">
        <f t="shared" si="20"/>
        <v>3101.076</v>
      </c>
      <c r="M131" s="52" t="s">
        <v>556</v>
      </c>
      <c r="N131" s="53" t="s">
        <v>50</v>
      </c>
      <c r="O131" s="52">
        <v>120.06</v>
      </c>
      <c r="P131" s="54" t="s">
        <v>64</v>
      </c>
      <c r="Q131" s="54"/>
      <c r="R131" s="55"/>
      <c r="S131" s="54">
        <v>130</v>
      </c>
      <c r="T131" s="56">
        <f t="shared" si="14"/>
        <v>2600</v>
      </c>
      <c r="U131" s="52">
        <v>12</v>
      </c>
      <c r="V131" s="52">
        <v>110.13</v>
      </c>
      <c r="W131" s="52">
        <f>ROUND(AH131*1.1,2)</f>
        <v>110.13</v>
      </c>
      <c r="X131" s="52">
        <f t="shared" si="17"/>
        <v>2202.6</v>
      </c>
      <c r="Y131" s="52"/>
      <c r="Z131" s="52">
        <v>112.86</v>
      </c>
      <c r="AA131" s="52">
        <f t="shared" si="18"/>
        <v>2257.1999999999998</v>
      </c>
      <c r="AB131" s="52" t="s">
        <v>391</v>
      </c>
      <c r="AC131" s="52"/>
      <c r="AE131" s="57" t="s">
        <v>52</v>
      </c>
      <c r="AH131" s="57">
        <v>100.12</v>
      </c>
      <c r="AI131" s="58">
        <v>0</v>
      </c>
      <c r="AK131" s="57">
        <f t="shared" si="23"/>
        <v>2002.4</v>
      </c>
      <c r="AP131" s="57">
        <v>4</v>
      </c>
      <c r="AQ131" s="59" t="s">
        <v>557</v>
      </c>
      <c r="AR131" s="60">
        <v>35</v>
      </c>
      <c r="AS131" s="60">
        <v>2450</v>
      </c>
    </row>
    <row r="132" spans="2:45" s="57" customFormat="1">
      <c r="B132" s="46" t="s">
        <v>558</v>
      </c>
      <c r="C132" s="46" t="s">
        <v>559</v>
      </c>
      <c r="D132" s="46" t="s">
        <v>132</v>
      </c>
      <c r="E132" s="46" t="s">
        <v>56</v>
      </c>
      <c r="F132" s="46" t="s">
        <v>560</v>
      </c>
      <c r="G132" s="47">
        <v>2</v>
      </c>
      <c r="H132" s="48">
        <f t="shared" si="15"/>
        <v>239.64</v>
      </c>
      <c r="I132" s="49">
        <f t="shared" si="19"/>
        <v>479.28</v>
      </c>
      <c r="J132" s="50">
        <v>0.23</v>
      </c>
      <c r="K132" s="51">
        <f t="shared" si="13"/>
        <v>110.23440000000005</v>
      </c>
      <c r="L132" s="51">
        <f t="shared" si="20"/>
        <v>589.51440000000002</v>
      </c>
      <c r="M132" s="52"/>
      <c r="N132" s="53" t="s">
        <v>50</v>
      </c>
      <c r="O132" s="52">
        <v>159.76</v>
      </c>
      <c r="P132" s="54" t="s">
        <v>64</v>
      </c>
      <c r="Q132" s="54">
        <v>48.45</v>
      </c>
      <c r="R132" s="55"/>
      <c r="S132" s="54">
        <v>54</v>
      </c>
      <c r="T132" s="56">
        <f t="shared" si="14"/>
        <v>108</v>
      </c>
      <c r="U132" s="52">
        <v>6</v>
      </c>
      <c r="V132" s="52">
        <v>173.2</v>
      </c>
      <c r="W132" s="52">
        <f t="shared" si="21"/>
        <v>173.2</v>
      </c>
      <c r="X132" s="52">
        <f t="shared" si="17"/>
        <v>346.4</v>
      </c>
      <c r="Y132" s="52"/>
      <c r="Z132" s="52">
        <v>125.82</v>
      </c>
      <c r="AA132" s="52">
        <f t="shared" si="18"/>
        <v>251.64</v>
      </c>
      <c r="AB132" s="52"/>
      <c r="AC132" s="52"/>
      <c r="AE132" s="57" t="s">
        <v>52</v>
      </c>
      <c r="AH132" s="57">
        <v>133.22999999999999</v>
      </c>
      <c r="AI132" s="58">
        <v>4</v>
      </c>
      <c r="AK132" s="57">
        <f t="shared" si="23"/>
        <v>266.45999999999998</v>
      </c>
      <c r="AP132" s="57">
        <v>0</v>
      </c>
      <c r="AQ132" s="59">
        <v>0</v>
      </c>
      <c r="AR132" s="59">
        <v>0</v>
      </c>
      <c r="AS132" s="60">
        <v>0</v>
      </c>
    </row>
    <row r="133" spans="2:45" s="57" customFormat="1">
      <c r="B133" s="46" t="s">
        <v>561</v>
      </c>
      <c r="C133" s="46" t="s">
        <v>562</v>
      </c>
      <c r="D133" s="46" t="s">
        <v>563</v>
      </c>
      <c r="E133" s="46" t="s">
        <v>56</v>
      </c>
      <c r="F133" s="46" t="s">
        <v>564</v>
      </c>
      <c r="G133" s="61">
        <v>2</v>
      </c>
      <c r="H133" s="48">
        <f t="shared" si="15"/>
        <v>24.65</v>
      </c>
      <c r="I133" s="49">
        <f t="shared" si="19"/>
        <v>49.3</v>
      </c>
      <c r="J133" s="50">
        <v>0.23</v>
      </c>
      <c r="K133" s="51">
        <f t="shared" si="13"/>
        <v>11.338999999999999</v>
      </c>
      <c r="L133" s="51">
        <f t="shared" si="20"/>
        <v>60.638999999999996</v>
      </c>
      <c r="M133" s="52"/>
      <c r="N133" s="53" t="s">
        <v>50</v>
      </c>
      <c r="O133" s="52">
        <v>16.43</v>
      </c>
      <c r="P133" s="54" t="s">
        <v>64</v>
      </c>
      <c r="Q133" s="54">
        <v>16.420000000000002</v>
      </c>
      <c r="R133" s="55">
        <v>1</v>
      </c>
      <c r="S133" s="54">
        <v>18</v>
      </c>
      <c r="T133" s="56">
        <f t="shared" si="14"/>
        <v>36</v>
      </c>
      <c r="U133" s="52">
        <v>2</v>
      </c>
      <c r="V133" s="52">
        <v>17.809999999999999</v>
      </c>
      <c r="W133" s="52">
        <f t="shared" si="21"/>
        <v>17.809999999999999</v>
      </c>
      <c r="X133" s="52">
        <f t="shared" si="17"/>
        <v>35.619999999999997</v>
      </c>
      <c r="Y133" s="52"/>
      <c r="Z133" s="52">
        <v>14.81</v>
      </c>
      <c r="AA133" s="52">
        <f t="shared" si="18"/>
        <v>29.62</v>
      </c>
      <c r="AB133" s="52"/>
      <c r="AC133" s="52"/>
      <c r="AE133" s="57" t="s">
        <v>52</v>
      </c>
      <c r="AH133" s="57">
        <v>13.7</v>
      </c>
      <c r="AI133" s="58">
        <v>1</v>
      </c>
      <c r="AK133" s="57">
        <f t="shared" si="23"/>
        <v>27.4</v>
      </c>
      <c r="AP133" s="57">
        <v>15</v>
      </c>
      <c r="AQ133" s="59" t="s">
        <v>565</v>
      </c>
      <c r="AR133" s="60">
        <v>104.86399999999999</v>
      </c>
      <c r="AS133" s="60">
        <v>524.31999999999994</v>
      </c>
    </row>
    <row r="134" spans="2:45" s="57" customFormat="1">
      <c r="B134" s="46" t="s">
        <v>566</v>
      </c>
      <c r="C134" s="46" t="s">
        <v>567</v>
      </c>
      <c r="D134" s="46" t="s">
        <v>47</v>
      </c>
      <c r="E134" s="46" t="s">
        <v>56</v>
      </c>
      <c r="F134" s="46" t="s">
        <v>568</v>
      </c>
      <c r="G134" s="61">
        <v>2</v>
      </c>
      <c r="H134" s="48">
        <f t="shared" si="15"/>
        <v>94.37</v>
      </c>
      <c r="I134" s="49">
        <f t="shared" si="19"/>
        <v>188.74</v>
      </c>
      <c r="J134" s="50">
        <v>0.23</v>
      </c>
      <c r="K134" s="51">
        <f t="shared" si="13"/>
        <v>43.410200000000003</v>
      </c>
      <c r="L134" s="51">
        <f t="shared" si="20"/>
        <v>232.15020000000001</v>
      </c>
      <c r="M134" s="52"/>
      <c r="N134" s="53" t="s">
        <v>50</v>
      </c>
      <c r="O134" s="52">
        <v>62.91</v>
      </c>
      <c r="P134" s="54" t="s">
        <v>64</v>
      </c>
      <c r="Q134" s="54">
        <v>22.09</v>
      </c>
      <c r="R134" s="55"/>
      <c r="S134" s="54">
        <v>24</v>
      </c>
      <c r="T134" s="56">
        <f t="shared" si="14"/>
        <v>48</v>
      </c>
      <c r="U134" s="52">
        <v>2</v>
      </c>
      <c r="V134" s="52">
        <v>42.9</v>
      </c>
      <c r="W134" s="52">
        <f t="shared" si="21"/>
        <v>42.9</v>
      </c>
      <c r="X134" s="52">
        <f t="shared" si="17"/>
        <v>85.8</v>
      </c>
      <c r="Y134" s="52"/>
      <c r="Z134" s="52">
        <v>42.34</v>
      </c>
      <c r="AA134" s="52">
        <f t="shared" si="18"/>
        <v>84.68</v>
      </c>
      <c r="AB134" s="52"/>
      <c r="AC134" s="52"/>
      <c r="AE134" s="57" t="s">
        <v>52</v>
      </c>
      <c r="AH134" s="57">
        <v>33</v>
      </c>
      <c r="AI134" s="58">
        <v>0</v>
      </c>
      <c r="AK134" s="57">
        <f t="shared" si="23"/>
        <v>66</v>
      </c>
      <c r="AP134" s="57">
        <v>61</v>
      </c>
      <c r="AQ134" s="59" t="s">
        <v>569</v>
      </c>
      <c r="AR134" s="60">
        <v>72</v>
      </c>
      <c r="AS134" s="60">
        <v>360</v>
      </c>
    </row>
    <row r="135" spans="2:45" s="57" customFormat="1">
      <c r="B135" s="46" t="s">
        <v>570</v>
      </c>
      <c r="C135" s="46" t="s">
        <v>571</v>
      </c>
      <c r="D135" s="46" t="s">
        <v>47</v>
      </c>
      <c r="E135" s="46" t="s">
        <v>56</v>
      </c>
      <c r="F135" s="46" t="s">
        <v>572</v>
      </c>
      <c r="G135" s="47">
        <v>10</v>
      </c>
      <c r="H135" s="48">
        <f t="shared" si="15"/>
        <v>56.15</v>
      </c>
      <c r="I135" s="49">
        <f t="shared" si="19"/>
        <v>561.5</v>
      </c>
      <c r="J135" s="50">
        <v>0.23</v>
      </c>
      <c r="K135" s="51">
        <f t="shared" si="13"/>
        <v>129.14499999999998</v>
      </c>
      <c r="L135" s="51">
        <f t="shared" si="20"/>
        <v>690.64499999999998</v>
      </c>
      <c r="M135" s="52"/>
      <c r="N135" s="53" t="s">
        <v>50</v>
      </c>
      <c r="O135" s="52">
        <v>37.43</v>
      </c>
      <c r="P135" s="54" t="s">
        <v>64</v>
      </c>
      <c r="Q135" s="54">
        <v>46.65</v>
      </c>
      <c r="R135" s="55">
        <v>7</v>
      </c>
      <c r="S135" s="54">
        <v>41</v>
      </c>
      <c r="T135" s="56">
        <f t="shared" si="14"/>
        <v>410</v>
      </c>
      <c r="U135" s="52">
        <v>38</v>
      </c>
      <c r="V135" s="52">
        <v>41.6</v>
      </c>
      <c r="W135" s="52">
        <f t="shared" si="21"/>
        <v>41.6</v>
      </c>
      <c r="X135" s="52">
        <f t="shared" si="17"/>
        <v>416</v>
      </c>
      <c r="Y135" s="52"/>
      <c r="Z135" s="52">
        <v>38.29</v>
      </c>
      <c r="AA135" s="52">
        <f t="shared" si="18"/>
        <v>382.9</v>
      </c>
      <c r="AB135" s="52"/>
      <c r="AC135" s="52"/>
      <c r="AE135" s="57" t="s">
        <v>52</v>
      </c>
      <c r="AH135" s="57">
        <v>32</v>
      </c>
      <c r="AI135" s="58">
        <v>31</v>
      </c>
      <c r="AK135" s="57">
        <f t="shared" si="23"/>
        <v>320</v>
      </c>
      <c r="AP135" s="57">
        <v>0</v>
      </c>
      <c r="AQ135" s="59" t="s">
        <v>573</v>
      </c>
      <c r="AR135" s="60">
        <v>131</v>
      </c>
      <c r="AS135" s="60">
        <v>3275</v>
      </c>
    </row>
    <row r="136" spans="2:45" s="57" customFormat="1" ht="22.5">
      <c r="B136" s="46" t="s">
        <v>574</v>
      </c>
      <c r="C136" s="46" t="s">
        <v>575</v>
      </c>
      <c r="D136" s="66" t="s">
        <v>191</v>
      </c>
      <c r="E136" s="46" t="s">
        <v>88</v>
      </c>
      <c r="F136" s="46" t="s">
        <v>576</v>
      </c>
      <c r="G136" s="67">
        <v>1</v>
      </c>
      <c r="H136" s="48">
        <f t="shared" si="15"/>
        <v>69.98</v>
      </c>
      <c r="I136" s="49">
        <f t="shared" si="19"/>
        <v>69.98</v>
      </c>
      <c r="J136" s="50">
        <v>0.23</v>
      </c>
      <c r="K136" s="51">
        <f t="shared" si="13"/>
        <v>16.095399999999998</v>
      </c>
      <c r="L136" s="51">
        <f t="shared" si="20"/>
        <v>86.075400000000002</v>
      </c>
      <c r="M136" s="52"/>
      <c r="N136" s="53" t="s">
        <v>114</v>
      </c>
      <c r="O136" s="52">
        <v>46.65</v>
      </c>
      <c r="P136" s="54" t="s">
        <v>24</v>
      </c>
      <c r="Q136" s="54"/>
      <c r="R136" s="55">
        <v>2</v>
      </c>
      <c r="S136" s="54">
        <v>50</v>
      </c>
      <c r="T136" s="56">
        <f t="shared" si="14"/>
        <v>50</v>
      </c>
      <c r="U136" s="52">
        <v>1</v>
      </c>
      <c r="V136" s="52">
        <v>60.65</v>
      </c>
      <c r="W136" s="52">
        <f t="shared" si="21"/>
        <v>60.65</v>
      </c>
      <c r="X136" s="52">
        <f t="shared" si="17"/>
        <v>60.65</v>
      </c>
      <c r="Y136" s="52"/>
      <c r="Z136" s="52">
        <v>52.8</v>
      </c>
      <c r="AA136" s="52">
        <f t="shared" si="18"/>
        <v>52.8</v>
      </c>
      <c r="AB136" s="52"/>
      <c r="AC136" s="52"/>
      <c r="AE136" s="57" t="s">
        <v>115</v>
      </c>
      <c r="AF136" s="57">
        <v>61.38</v>
      </c>
      <c r="AH136" s="57">
        <v>46.65</v>
      </c>
      <c r="AI136" s="58">
        <v>0</v>
      </c>
      <c r="AK136" s="57">
        <f t="shared" si="23"/>
        <v>46.65</v>
      </c>
      <c r="AP136" s="57">
        <v>4</v>
      </c>
      <c r="AQ136" s="59" t="s">
        <v>577</v>
      </c>
      <c r="AR136" s="60">
        <v>10.468999999999999</v>
      </c>
      <c r="AS136" s="60">
        <v>314.07</v>
      </c>
    </row>
    <row r="137" spans="2:45" s="57" customFormat="1">
      <c r="B137" s="46" t="s">
        <v>578</v>
      </c>
      <c r="C137" s="46" t="s">
        <v>579</v>
      </c>
      <c r="D137" s="46" t="s">
        <v>580</v>
      </c>
      <c r="E137" s="46" t="s">
        <v>56</v>
      </c>
      <c r="F137" s="46" t="s">
        <v>581</v>
      </c>
      <c r="G137" s="61">
        <v>2</v>
      </c>
      <c r="H137" s="48">
        <f t="shared" si="15"/>
        <v>121.7</v>
      </c>
      <c r="I137" s="49">
        <f t="shared" si="19"/>
        <v>243.4</v>
      </c>
      <c r="J137" s="50">
        <v>0.23</v>
      </c>
      <c r="K137" s="51">
        <f t="shared" si="13"/>
        <v>55.981999999999999</v>
      </c>
      <c r="L137" s="51">
        <f t="shared" si="20"/>
        <v>299.38200000000001</v>
      </c>
      <c r="M137" s="52"/>
      <c r="N137" s="53" t="s">
        <v>50</v>
      </c>
      <c r="O137" s="52">
        <v>81.13</v>
      </c>
      <c r="P137" s="54" t="s">
        <v>64</v>
      </c>
      <c r="Q137" s="54">
        <v>117.8</v>
      </c>
      <c r="R137" s="55">
        <v>5</v>
      </c>
      <c r="S137" s="54">
        <v>90</v>
      </c>
      <c r="T137" s="56">
        <f t="shared" si="14"/>
        <v>180</v>
      </c>
      <c r="U137" s="52">
        <v>2</v>
      </c>
      <c r="V137" s="52">
        <v>104</v>
      </c>
      <c r="W137" s="52">
        <f t="shared" si="21"/>
        <v>104</v>
      </c>
      <c r="X137" s="52">
        <f t="shared" si="17"/>
        <v>208</v>
      </c>
      <c r="Y137" s="52"/>
      <c r="Z137" s="52">
        <v>102.54</v>
      </c>
      <c r="AA137" s="52">
        <f t="shared" si="18"/>
        <v>205.08</v>
      </c>
      <c r="AB137" s="52"/>
      <c r="AC137" s="52"/>
      <c r="AE137" s="57" t="s">
        <v>52</v>
      </c>
      <c r="AH137" s="57">
        <v>80</v>
      </c>
      <c r="AI137" s="58">
        <v>1</v>
      </c>
      <c r="AK137" s="57">
        <f t="shared" si="23"/>
        <v>160</v>
      </c>
      <c r="AP137" s="57">
        <v>2</v>
      </c>
      <c r="AQ137" s="59" t="s">
        <v>582</v>
      </c>
      <c r="AR137" s="60">
        <v>320</v>
      </c>
      <c r="AS137" s="60">
        <v>960</v>
      </c>
    </row>
    <row r="138" spans="2:45" s="57" customFormat="1" ht="22.5">
      <c r="B138" s="46" t="s">
        <v>583</v>
      </c>
      <c r="C138" s="64" t="s">
        <v>584</v>
      </c>
      <c r="D138" s="64" t="s">
        <v>235</v>
      </c>
      <c r="E138" s="64" t="s">
        <v>249</v>
      </c>
      <c r="F138" s="64" t="s">
        <v>585</v>
      </c>
      <c r="G138" s="47">
        <v>1</v>
      </c>
      <c r="H138" s="65">
        <f>ROUND(O138*1.1,2)</f>
        <v>121.22</v>
      </c>
      <c r="I138" s="49">
        <f t="shared" si="19"/>
        <v>121.22</v>
      </c>
      <c r="J138" s="50">
        <v>0.23</v>
      </c>
      <c r="K138" s="51">
        <f t="shared" si="13"/>
        <v>27.880599999999987</v>
      </c>
      <c r="L138" s="51">
        <f t="shared" si="20"/>
        <v>149.10059999999999</v>
      </c>
      <c r="M138" s="52"/>
      <c r="N138" s="53" t="s">
        <v>114</v>
      </c>
      <c r="O138" s="52">
        <v>110.2</v>
      </c>
      <c r="P138" s="54" t="s">
        <v>24</v>
      </c>
      <c r="Q138" s="54"/>
      <c r="R138" s="55"/>
      <c r="S138" s="54">
        <v>120</v>
      </c>
      <c r="T138" s="56">
        <f t="shared" si="14"/>
        <v>120</v>
      </c>
      <c r="U138" s="52">
        <v>1</v>
      </c>
      <c r="V138" s="52">
        <v>132.24</v>
      </c>
      <c r="W138" s="52">
        <f>ROUND(AH138*1.2,2)</f>
        <v>132.24</v>
      </c>
      <c r="X138" s="52">
        <f t="shared" si="17"/>
        <v>132.24</v>
      </c>
      <c r="Y138" s="52"/>
      <c r="Z138" s="52">
        <v>110</v>
      </c>
      <c r="AA138" s="52">
        <f t="shared" si="18"/>
        <v>110</v>
      </c>
      <c r="AB138" s="52"/>
      <c r="AC138" s="52"/>
      <c r="AE138" s="57" t="s">
        <v>115</v>
      </c>
      <c r="AF138" s="57">
        <v>145</v>
      </c>
      <c r="AH138" s="57">
        <v>110.2</v>
      </c>
      <c r="AI138" s="58">
        <v>0</v>
      </c>
      <c r="AK138" s="57">
        <f t="shared" si="23"/>
        <v>110.2</v>
      </c>
      <c r="AP138" s="57">
        <v>1</v>
      </c>
      <c r="AQ138" s="59" t="s">
        <v>586</v>
      </c>
      <c r="AR138" s="60">
        <v>120</v>
      </c>
      <c r="AS138" s="60">
        <v>720</v>
      </c>
    </row>
    <row r="139" spans="2:45" s="57" customFormat="1">
      <c r="B139" s="46" t="s">
        <v>587</v>
      </c>
      <c r="C139" s="46" t="s">
        <v>588</v>
      </c>
      <c r="D139" s="46" t="s">
        <v>47</v>
      </c>
      <c r="E139" s="46" t="s">
        <v>56</v>
      </c>
      <c r="F139" s="46" t="s">
        <v>589</v>
      </c>
      <c r="G139" s="61">
        <v>15</v>
      </c>
      <c r="H139" s="48">
        <f t="shared" ref="H139:H202" si="24">ROUND(O139*1.5,2)</f>
        <v>22.17</v>
      </c>
      <c r="I139" s="49">
        <f t="shared" si="19"/>
        <v>332.55</v>
      </c>
      <c r="J139" s="50">
        <v>0.23</v>
      </c>
      <c r="K139" s="51">
        <f t="shared" ref="K139:K202" si="25">L139-I139</f>
        <v>76.486500000000035</v>
      </c>
      <c r="L139" s="51">
        <f t="shared" si="20"/>
        <v>409.03650000000005</v>
      </c>
      <c r="M139" s="52"/>
      <c r="N139" s="53" t="s">
        <v>50</v>
      </c>
      <c r="O139" s="52">
        <v>14.78</v>
      </c>
      <c r="P139" s="54" t="s">
        <v>64</v>
      </c>
      <c r="Q139" s="54">
        <v>11.29</v>
      </c>
      <c r="R139" s="55">
        <v>11</v>
      </c>
      <c r="S139" s="54">
        <v>13</v>
      </c>
      <c r="T139" s="56">
        <f t="shared" ref="T139:T202" si="26">S139*G139</f>
        <v>195</v>
      </c>
      <c r="U139" s="52">
        <v>15</v>
      </c>
      <c r="V139" s="52">
        <v>15.6</v>
      </c>
      <c r="W139" s="52">
        <f t="shared" si="21"/>
        <v>15.6</v>
      </c>
      <c r="X139" s="52">
        <f t="shared" si="17"/>
        <v>234</v>
      </c>
      <c r="Y139" s="52"/>
      <c r="Z139" s="52">
        <v>13.9</v>
      </c>
      <c r="AA139" s="52">
        <f t="shared" si="18"/>
        <v>208.5</v>
      </c>
      <c r="AB139" s="52"/>
      <c r="AC139" s="52"/>
      <c r="AE139" s="57" t="s">
        <v>52</v>
      </c>
      <c r="AH139" s="57">
        <v>12</v>
      </c>
      <c r="AI139" s="58">
        <v>9</v>
      </c>
      <c r="AK139" s="57">
        <f t="shared" si="23"/>
        <v>180</v>
      </c>
      <c r="AP139" s="57">
        <v>0</v>
      </c>
      <c r="AQ139" s="59" t="s">
        <v>590</v>
      </c>
      <c r="AR139" s="60">
        <v>100.12249999999999</v>
      </c>
      <c r="AS139" s="60">
        <v>1201.4699999999998</v>
      </c>
    </row>
    <row r="140" spans="2:45" s="57" customFormat="1">
      <c r="B140" s="46" t="s">
        <v>591</v>
      </c>
      <c r="C140" s="46" t="s">
        <v>592</v>
      </c>
      <c r="D140" s="46" t="s">
        <v>132</v>
      </c>
      <c r="E140" s="46" t="s">
        <v>56</v>
      </c>
      <c r="F140" s="46" t="s">
        <v>593</v>
      </c>
      <c r="G140" s="47">
        <v>20</v>
      </c>
      <c r="H140" s="48">
        <f t="shared" si="24"/>
        <v>37.71</v>
      </c>
      <c r="I140" s="49">
        <f t="shared" si="19"/>
        <v>754.2</v>
      </c>
      <c r="J140" s="50">
        <v>0.23</v>
      </c>
      <c r="K140" s="51">
        <f t="shared" si="25"/>
        <v>173.46600000000001</v>
      </c>
      <c r="L140" s="51">
        <f t="shared" si="20"/>
        <v>927.66600000000005</v>
      </c>
      <c r="M140" s="52"/>
      <c r="N140" s="53" t="s">
        <v>50</v>
      </c>
      <c r="O140" s="52">
        <v>25.14</v>
      </c>
      <c r="P140" s="54" t="s">
        <v>64</v>
      </c>
      <c r="Q140" s="54">
        <v>49.91</v>
      </c>
      <c r="R140" s="55">
        <v>13</v>
      </c>
      <c r="S140" s="54">
        <v>28</v>
      </c>
      <c r="T140" s="56">
        <f t="shared" si="26"/>
        <v>560</v>
      </c>
      <c r="U140" s="52">
        <v>6</v>
      </c>
      <c r="V140" s="52">
        <v>27.26</v>
      </c>
      <c r="W140" s="52">
        <f t="shared" si="21"/>
        <v>27.26</v>
      </c>
      <c r="X140" s="52">
        <f t="shared" si="17"/>
        <v>545.20000000000005</v>
      </c>
      <c r="Y140" s="52"/>
      <c r="Z140" s="52">
        <v>21.05</v>
      </c>
      <c r="AA140" s="52">
        <f t="shared" si="18"/>
        <v>421</v>
      </c>
      <c r="AB140" s="52"/>
      <c r="AC140" s="52"/>
      <c r="AE140" s="57" t="s">
        <v>52</v>
      </c>
      <c r="AH140" s="57">
        <v>20.97</v>
      </c>
      <c r="AI140" s="58">
        <v>2</v>
      </c>
      <c r="AK140" s="57">
        <f t="shared" si="23"/>
        <v>419.4</v>
      </c>
      <c r="AP140" s="57">
        <v>1</v>
      </c>
      <c r="AQ140" s="59" t="s">
        <v>594</v>
      </c>
      <c r="AR140" s="60">
        <v>133.226</v>
      </c>
      <c r="AS140" s="60">
        <v>799.35599999999999</v>
      </c>
    </row>
    <row r="141" spans="2:45" s="57" customFormat="1">
      <c r="B141" s="46" t="s">
        <v>595</v>
      </c>
      <c r="C141" s="46" t="s">
        <v>596</v>
      </c>
      <c r="D141" s="46" t="s">
        <v>47</v>
      </c>
      <c r="E141" s="46" t="s">
        <v>56</v>
      </c>
      <c r="F141" s="46" t="s">
        <v>597</v>
      </c>
      <c r="G141" s="61">
        <v>60</v>
      </c>
      <c r="H141" s="48">
        <f t="shared" si="24"/>
        <v>28.5</v>
      </c>
      <c r="I141" s="49">
        <f t="shared" si="19"/>
        <v>1710</v>
      </c>
      <c r="J141" s="50">
        <v>0.23</v>
      </c>
      <c r="K141" s="51">
        <f t="shared" si="25"/>
        <v>393.30000000000018</v>
      </c>
      <c r="L141" s="51">
        <f t="shared" si="20"/>
        <v>2103.3000000000002</v>
      </c>
      <c r="M141" s="52"/>
      <c r="N141" s="53" t="s">
        <v>50</v>
      </c>
      <c r="O141" s="52">
        <v>19</v>
      </c>
      <c r="P141" s="54" t="s">
        <v>51</v>
      </c>
      <c r="Q141" s="54">
        <v>13.57</v>
      </c>
      <c r="R141" s="55">
        <v>34</v>
      </c>
      <c r="S141" s="54">
        <v>14</v>
      </c>
      <c r="T141" s="56">
        <f t="shared" si="26"/>
        <v>840</v>
      </c>
      <c r="U141" s="52">
        <v>60</v>
      </c>
      <c r="V141" s="52">
        <v>23.4</v>
      </c>
      <c r="W141" s="52">
        <f t="shared" si="21"/>
        <v>23.4</v>
      </c>
      <c r="X141" s="52">
        <f t="shared" si="17"/>
        <v>1404</v>
      </c>
      <c r="Y141" s="52"/>
      <c r="Z141" s="52">
        <v>16.93</v>
      </c>
      <c r="AA141" s="52">
        <f t="shared" si="18"/>
        <v>1015.8</v>
      </c>
      <c r="AB141" s="52"/>
      <c r="AC141" s="52"/>
      <c r="AE141" s="57" t="s">
        <v>52</v>
      </c>
      <c r="AH141" s="57">
        <v>18</v>
      </c>
      <c r="AI141" s="58">
        <v>15</v>
      </c>
      <c r="AK141" s="57">
        <f t="shared" si="23"/>
        <v>1080</v>
      </c>
      <c r="AP141" s="57">
        <v>0</v>
      </c>
      <c r="AQ141" s="59">
        <v>0</v>
      </c>
      <c r="AR141" s="59">
        <v>0</v>
      </c>
      <c r="AS141" s="60">
        <v>0</v>
      </c>
    </row>
    <row r="142" spans="2:45" s="57" customFormat="1">
      <c r="B142" s="46" t="s">
        <v>598</v>
      </c>
      <c r="C142" s="46" t="s">
        <v>596</v>
      </c>
      <c r="D142" s="46" t="s">
        <v>599</v>
      </c>
      <c r="E142" s="46" t="s">
        <v>56</v>
      </c>
      <c r="F142" s="46" t="s">
        <v>597</v>
      </c>
      <c r="G142" s="61">
        <v>3</v>
      </c>
      <c r="H142" s="48">
        <f t="shared" si="24"/>
        <v>122.48</v>
      </c>
      <c r="I142" s="49">
        <f t="shared" si="19"/>
        <v>367.44</v>
      </c>
      <c r="J142" s="50">
        <v>0.23</v>
      </c>
      <c r="K142" s="51">
        <f t="shared" si="25"/>
        <v>84.511199999999974</v>
      </c>
      <c r="L142" s="51">
        <f t="shared" si="20"/>
        <v>451.95119999999997</v>
      </c>
      <c r="M142" s="52"/>
      <c r="N142" s="53" t="s">
        <v>50</v>
      </c>
      <c r="O142" s="52">
        <v>81.650000000000006</v>
      </c>
      <c r="P142" s="54" t="s">
        <v>64</v>
      </c>
      <c r="Q142" s="54">
        <f>13.03*5</f>
        <v>65.149999999999991</v>
      </c>
      <c r="R142" s="55">
        <v>10</v>
      </c>
      <c r="S142" s="54">
        <v>70</v>
      </c>
      <c r="T142" s="56">
        <f t="shared" si="26"/>
        <v>210</v>
      </c>
      <c r="U142" s="52">
        <v>3</v>
      </c>
      <c r="V142" s="52">
        <v>88.52</v>
      </c>
      <c r="W142" s="52">
        <f t="shared" si="21"/>
        <v>88.52</v>
      </c>
      <c r="X142" s="52">
        <f t="shared" si="17"/>
        <v>265.56</v>
      </c>
      <c r="Y142" s="52"/>
      <c r="Z142" s="52">
        <v>63.41</v>
      </c>
      <c r="AA142" s="52">
        <f t="shared" si="18"/>
        <v>190.23</v>
      </c>
      <c r="AB142" s="52"/>
      <c r="AC142" s="52"/>
      <c r="AE142" s="57" t="s">
        <v>52</v>
      </c>
      <c r="AH142" s="57">
        <v>68.09</v>
      </c>
      <c r="AI142" s="58">
        <v>0</v>
      </c>
      <c r="AK142" s="57">
        <f t="shared" si="23"/>
        <v>204.27</v>
      </c>
      <c r="AP142" s="57">
        <v>0</v>
      </c>
      <c r="AQ142" s="59" t="s">
        <v>600</v>
      </c>
      <c r="AR142" s="60">
        <v>13.702499999999999</v>
      </c>
      <c r="AS142" s="60">
        <v>27.404999999999998</v>
      </c>
    </row>
    <row r="143" spans="2:45" s="57" customFormat="1">
      <c r="B143" s="46" t="s">
        <v>601</v>
      </c>
      <c r="C143" s="46" t="s">
        <v>596</v>
      </c>
      <c r="D143" s="46" t="s">
        <v>47</v>
      </c>
      <c r="E143" s="46" t="s">
        <v>56</v>
      </c>
      <c r="F143" s="46" t="s">
        <v>383</v>
      </c>
      <c r="G143" s="61">
        <v>3</v>
      </c>
      <c r="H143" s="48">
        <f t="shared" si="24"/>
        <v>31.11</v>
      </c>
      <c r="I143" s="49">
        <f t="shared" si="19"/>
        <v>93.33</v>
      </c>
      <c r="J143" s="50">
        <v>0.23</v>
      </c>
      <c r="K143" s="51">
        <f t="shared" si="25"/>
        <v>21.465900000000005</v>
      </c>
      <c r="L143" s="51">
        <f t="shared" si="20"/>
        <v>114.7959</v>
      </c>
      <c r="M143" s="52"/>
      <c r="N143" s="53" t="s">
        <v>58</v>
      </c>
      <c r="O143" s="52">
        <v>20.74</v>
      </c>
      <c r="P143" s="54" t="s">
        <v>59</v>
      </c>
      <c r="Q143" s="54"/>
      <c r="R143" s="55">
        <v>3</v>
      </c>
      <c r="S143" s="54">
        <v>21</v>
      </c>
      <c r="T143" s="56">
        <f t="shared" si="26"/>
        <v>63</v>
      </c>
      <c r="U143" s="52">
        <v>3</v>
      </c>
      <c r="V143" s="52">
        <v>23.22</v>
      </c>
      <c r="W143" s="52">
        <f>ROUND(AH143*1.2,2)</f>
        <v>23.22</v>
      </c>
      <c r="X143" s="52">
        <f t="shared" si="17"/>
        <v>69.66</v>
      </c>
      <c r="Y143" s="52"/>
      <c r="Z143" s="52">
        <v>20.09</v>
      </c>
      <c r="AA143" s="52">
        <f t="shared" si="18"/>
        <v>60.269999999999996</v>
      </c>
      <c r="AB143" s="52"/>
      <c r="AC143" s="52"/>
      <c r="AE143" s="57" t="s">
        <v>60</v>
      </c>
      <c r="AF143" s="57">
        <v>24.19</v>
      </c>
      <c r="AG143" s="62">
        <v>0.2</v>
      </c>
      <c r="AH143" s="57">
        <f>AF143*0.8</f>
        <v>19.352000000000004</v>
      </c>
      <c r="AI143" s="58">
        <v>0</v>
      </c>
      <c r="AK143" s="57">
        <f t="shared" si="23"/>
        <v>58.056000000000012</v>
      </c>
      <c r="AP143" s="57">
        <v>4</v>
      </c>
      <c r="AQ143" s="59" t="s">
        <v>602</v>
      </c>
      <c r="AR143" s="60">
        <v>33</v>
      </c>
      <c r="AS143" s="60">
        <v>132</v>
      </c>
    </row>
    <row r="144" spans="2:45" s="57" customFormat="1">
      <c r="B144" s="46" t="s">
        <v>603</v>
      </c>
      <c r="C144" s="64" t="s">
        <v>604</v>
      </c>
      <c r="D144" s="64" t="s">
        <v>191</v>
      </c>
      <c r="E144" s="64" t="s">
        <v>56</v>
      </c>
      <c r="F144" s="64" t="s">
        <v>605</v>
      </c>
      <c r="G144" s="47">
        <v>1</v>
      </c>
      <c r="H144" s="65">
        <f>ROUND(O144*1.2,2)</f>
        <v>1002.32</v>
      </c>
      <c r="I144" s="49">
        <f t="shared" si="19"/>
        <v>1002.32</v>
      </c>
      <c r="J144" s="50">
        <v>0.23</v>
      </c>
      <c r="K144" s="51">
        <f t="shared" si="25"/>
        <v>230.53360000000009</v>
      </c>
      <c r="L144" s="51">
        <f t="shared" si="20"/>
        <v>1232.8536000000001</v>
      </c>
      <c r="M144" s="52"/>
      <c r="N144" s="53" t="s">
        <v>91</v>
      </c>
      <c r="O144" s="52">
        <v>835.27</v>
      </c>
      <c r="P144" s="54" t="s">
        <v>92</v>
      </c>
      <c r="Q144" s="54"/>
      <c r="R144" s="55"/>
      <c r="S144" s="54">
        <v>840</v>
      </c>
      <c r="T144" s="56">
        <f t="shared" si="26"/>
        <v>840</v>
      </c>
      <c r="U144" s="52">
        <v>1</v>
      </c>
      <c r="V144" s="52">
        <v>1130.01</v>
      </c>
      <c r="W144" s="52">
        <f t="shared" si="21"/>
        <v>1130.01</v>
      </c>
      <c r="X144" s="52">
        <f t="shared" si="17"/>
        <v>1130.01</v>
      </c>
      <c r="Y144" s="52">
        <v>0.2</v>
      </c>
      <c r="Z144" s="52">
        <v>925.91</v>
      </c>
      <c r="AA144" s="52">
        <f t="shared" si="18"/>
        <v>925.91</v>
      </c>
      <c r="AB144" s="52"/>
      <c r="AC144" s="52"/>
      <c r="AE144" s="57" t="s">
        <v>93</v>
      </c>
      <c r="AF144" s="57">
        <v>1022.63</v>
      </c>
      <c r="AG144" s="62">
        <v>0.15</v>
      </c>
      <c r="AH144" s="57">
        <v>869.24</v>
      </c>
      <c r="AI144" s="58">
        <v>0</v>
      </c>
      <c r="AK144" s="57">
        <f t="shared" si="23"/>
        <v>869.24</v>
      </c>
      <c r="AP144" s="57">
        <v>0</v>
      </c>
      <c r="AQ144" s="59" t="s">
        <v>606</v>
      </c>
      <c r="AR144" s="60">
        <v>32</v>
      </c>
      <c r="AS144" s="60">
        <v>640</v>
      </c>
    </row>
    <row r="145" spans="2:45" s="57" customFormat="1" ht="22.5">
      <c r="B145" s="46" t="s">
        <v>607</v>
      </c>
      <c r="C145" s="64" t="s">
        <v>608</v>
      </c>
      <c r="D145" s="64" t="s">
        <v>563</v>
      </c>
      <c r="E145" s="64" t="s">
        <v>609</v>
      </c>
      <c r="F145" s="64" t="s">
        <v>610</v>
      </c>
      <c r="G145" s="47">
        <v>10</v>
      </c>
      <c r="H145" s="65">
        <f>ROUND(O145*0.6,2)</f>
        <v>754.68</v>
      </c>
      <c r="I145" s="49">
        <f t="shared" si="19"/>
        <v>7546.7999999999993</v>
      </c>
      <c r="J145" s="50">
        <v>0.23</v>
      </c>
      <c r="K145" s="51">
        <f t="shared" si="25"/>
        <v>1735.7639999999992</v>
      </c>
      <c r="L145" s="51">
        <f t="shared" si="20"/>
        <v>9282.5639999999985</v>
      </c>
      <c r="M145" s="52"/>
      <c r="N145" s="53" t="s">
        <v>79</v>
      </c>
      <c r="O145" s="52">
        <f>372.68*4.5*0.75</f>
        <v>1257.7950000000001</v>
      </c>
      <c r="P145" s="54" t="s">
        <v>24</v>
      </c>
      <c r="Q145" s="54"/>
      <c r="R145" s="55"/>
      <c r="S145" s="54">
        <f>372.68*4.5</f>
        <v>1677.06</v>
      </c>
      <c r="T145" s="56">
        <f t="shared" si="26"/>
        <v>16770.599999999999</v>
      </c>
      <c r="U145" s="52">
        <v>9</v>
      </c>
      <c r="V145" s="52">
        <v>744.08</v>
      </c>
      <c r="W145" s="52">
        <f>ROUND(AH145*0.8,2)</f>
        <v>744.08</v>
      </c>
      <c r="X145" s="52">
        <f t="shared" si="17"/>
        <v>7440.8</v>
      </c>
      <c r="Y145" s="52" t="s">
        <v>238</v>
      </c>
      <c r="Z145" s="52">
        <v>1330</v>
      </c>
      <c r="AA145" s="52">
        <f t="shared" si="18"/>
        <v>13300</v>
      </c>
      <c r="AB145" s="52" t="s">
        <v>239</v>
      </c>
      <c r="AC145" s="52"/>
      <c r="AE145" s="57" t="s">
        <v>83</v>
      </c>
      <c r="AF145" s="57">
        <f>301.98*4.4</f>
        <v>1328.7120000000002</v>
      </c>
      <c r="AG145" s="62"/>
      <c r="AH145" s="57">
        <f>AF145*0.7</f>
        <v>930.09840000000008</v>
      </c>
      <c r="AI145" s="58">
        <v>0</v>
      </c>
      <c r="AK145" s="57">
        <f t="shared" si="23"/>
        <v>9300.9840000000004</v>
      </c>
      <c r="AP145" s="57">
        <v>1</v>
      </c>
      <c r="AQ145" s="59">
        <v>0</v>
      </c>
      <c r="AR145" s="59">
        <v>0</v>
      </c>
      <c r="AS145" s="60">
        <v>0</v>
      </c>
    </row>
    <row r="146" spans="2:45" s="57" customFormat="1" ht="45">
      <c r="B146" s="46" t="s">
        <v>611</v>
      </c>
      <c r="C146" s="64" t="s">
        <v>608</v>
      </c>
      <c r="D146" s="64" t="s">
        <v>340</v>
      </c>
      <c r="E146" s="64" t="s">
        <v>612</v>
      </c>
      <c r="F146" s="81" t="s">
        <v>613</v>
      </c>
      <c r="G146" s="47">
        <v>12</v>
      </c>
      <c r="H146" s="65">
        <f>ROUND(O146*1.2,2)</f>
        <v>375.54</v>
      </c>
      <c r="I146" s="49">
        <f t="shared" si="19"/>
        <v>4506.4800000000005</v>
      </c>
      <c r="J146" s="50">
        <v>0.23</v>
      </c>
      <c r="K146" s="51">
        <f t="shared" si="25"/>
        <v>1036.4903999999997</v>
      </c>
      <c r="L146" s="51">
        <f t="shared" ref="L146:L209" si="27">I146+I146*J146</f>
        <v>5542.9704000000002</v>
      </c>
      <c r="M146" s="52" t="s">
        <v>614</v>
      </c>
      <c r="N146" s="53" t="s">
        <v>79</v>
      </c>
      <c r="O146" s="52">
        <f>86.8*4.5*0.75+20</f>
        <v>312.95</v>
      </c>
      <c r="P146" s="54" t="s">
        <v>24</v>
      </c>
      <c r="Q146" s="54"/>
      <c r="R146" s="55"/>
      <c r="S146" s="54">
        <f>86.6*4.5</f>
        <v>389.7</v>
      </c>
      <c r="T146" s="56">
        <f t="shared" si="26"/>
        <v>4676.3999999999996</v>
      </c>
      <c r="U146" s="52">
        <v>10</v>
      </c>
      <c r="V146" s="52">
        <v>271.74</v>
      </c>
      <c r="W146" s="52">
        <f>ROUND(AH146*1.15,2)</f>
        <v>271.74</v>
      </c>
      <c r="X146" s="52">
        <f t="shared" ref="X146:X210" si="28">W146*G146</f>
        <v>3260.88</v>
      </c>
      <c r="Y146" s="52" t="s">
        <v>359</v>
      </c>
      <c r="Z146" s="52">
        <v>338</v>
      </c>
      <c r="AA146" s="52">
        <f t="shared" ref="AA146:AA210" si="29">Z146*G146</f>
        <v>4056</v>
      </c>
      <c r="AB146" s="52" t="s">
        <v>615</v>
      </c>
      <c r="AC146" s="52"/>
      <c r="AE146" s="57" t="s">
        <v>83</v>
      </c>
      <c r="AF146" s="57">
        <f>76.72*4.4</f>
        <v>337.56800000000004</v>
      </c>
      <c r="AH146" s="57">
        <f>AF146*0.7</f>
        <v>236.29760000000002</v>
      </c>
      <c r="AI146" s="58">
        <v>1</v>
      </c>
      <c r="AK146" s="57">
        <f t="shared" si="23"/>
        <v>2835.5712000000003</v>
      </c>
      <c r="AP146" s="57">
        <v>0</v>
      </c>
      <c r="AQ146" s="59" t="s">
        <v>616</v>
      </c>
      <c r="AR146" s="60">
        <v>80</v>
      </c>
      <c r="AS146" s="60">
        <v>400</v>
      </c>
    </row>
    <row r="147" spans="2:45" s="57" customFormat="1" ht="22.5">
      <c r="B147" s="46" t="s">
        <v>617</v>
      </c>
      <c r="C147" s="46" t="s">
        <v>618</v>
      </c>
      <c r="D147" s="46" t="s">
        <v>106</v>
      </c>
      <c r="E147" s="46" t="s">
        <v>107</v>
      </c>
      <c r="F147" s="46" t="s">
        <v>619</v>
      </c>
      <c r="G147" s="47">
        <v>10</v>
      </c>
      <c r="H147" s="48">
        <f t="shared" si="24"/>
        <v>35.81</v>
      </c>
      <c r="I147" s="49">
        <f t="shared" ref="I147:I211" si="30">H147*G147</f>
        <v>358.1</v>
      </c>
      <c r="J147" s="50">
        <v>0.23</v>
      </c>
      <c r="K147" s="51">
        <f t="shared" si="25"/>
        <v>82.363</v>
      </c>
      <c r="L147" s="51">
        <f t="shared" si="27"/>
        <v>440.46300000000002</v>
      </c>
      <c r="M147" s="52"/>
      <c r="N147" s="53" t="s">
        <v>50</v>
      </c>
      <c r="O147" s="52">
        <v>23.87</v>
      </c>
      <c r="P147" s="54" t="s">
        <v>64</v>
      </c>
      <c r="Q147" s="54">
        <v>7.07</v>
      </c>
      <c r="R147" s="55"/>
      <c r="S147" s="54">
        <v>8</v>
      </c>
      <c r="T147" s="56">
        <f t="shared" si="26"/>
        <v>80</v>
      </c>
      <c r="U147" s="52">
        <v>10</v>
      </c>
      <c r="V147" s="52">
        <v>31.46</v>
      </c>
      <c r="W147" s="52">
        <f t="shared" ref="W147:W210" si="31">ROUND(AH147*1.3,2)</f>
        <v>31.46</v>
      </c>
      <c r="X147" s="52">
        <f t="shared" si="28"/>
        <v>314.60000000000002</v>
      </c>
      <c r="Y147" s="52"/>
      <c r="Z147" s="52">
        <v>20.52</v>
      </c>
      <c r="AA147" s="52">
        <f t="shared" si="29"/>
        <v>205.2</v>
      </c>
      <c r="AB147" s="52"/>
      <c r="AC147" s="52"/>
      <c r="AE147" s="57" t="s">
        <v>52</v>
      </c>
      <c r="AH147" s="57">
        <v>24.2</v>
      </c>
      <c r="AI147" s="58">
        <v>0</v>
      </c>
      <c r="AK147" s="57">
        <f t="shared" si="23"/>
        <v>242</v>
      </c>
      <c r="AP147" s="57">
        <v>31</v>
      </c>
      <c r="AQ147" s="59">
        <v>0</v>
      </c>
      <c r="AR147" s="59">
        <v>0</v>
      </c>
      <c r="AS147" s="60">
        <v>0</v>
      </c>
    </row>
    <row r="148" spans="2:45" s="57" customFormat="1" ht="22.5">
      <c r="B148" s="46" t="s">
        <v>620</v>
      </c>
      <c r="C148" s="46" t="s">
        <v>621</v>
      </c>
      <c r="D148" s="46" t="s">
        <v>622</v>
      </c>
      <c r="E148" s="46" t="s">
        <v>56</v>
      </c>
      <c r="F148" s="46" t="s">
        <v>623</v>
      </c>
      <c r="G148" s="61">
        <v>2</v>
      </c>
      <c r="H148" s="48">
        <f t="shared" si="24"/>
        <v>21.42</v>
      </c>
      <c r="I148" s="49">
        <f t="shared" si="30"/>
        <v>42.84</v>
      </c>
      <c r="J148" s="50">
        <v>0.23</v>
      </c>
      <c r="K148" s="51">
        <f t="shared" si="25"/>
        <v>9.8532000000000011</v>
      </c>
      <c r="L148" s="51">
        <f t="shared" si="27"/>
        <v>52.693200000000004</v>
      </c>
      <c r="M148" s="52"/>
      <c r="N148" s="53" t="s">
        <v>114</v>
      </c>
      <c r="O148" s="52">
        <v>14.28</v>
      </c>
      <c r="P148" s="54"/>
      <c r="Q148" s="54"/>
      <c r="R148" s="55"/>
      <c r="S148" s="54">
        <v>16</v>
      </c>
      <c r="T148" s="56">
        <f t="shared" si="26"/>
        <v>32</v>
      </c>
      <c r="U148" s="52">
        <v>2</v>
      </c>
      <c r="V148" s="52">
        <v>18.559999999999999</v>
      </c>
      <c r="W148" s="52">
        <f t="shared" si="31"/>
        <v>18.559999999999999</v>
      </c>
      <c r="X148" s="52">
        <f t="shared" si="28"/>
        <v>37.119999999999997</v>
      </c>
      <c r="Y148" s="52"/>
      <c r="Z148" s="52">
        <v>14</v>
      </c>
      <c r="AA148" s="52">
        <f t="shared" si="29"/>
        <v>28</v>
      </c>
      <c r="AB148" s="52"/>
      <c r="AC148" s="52"/>
      <c r="AE148" s="57" t="s">
        <v>115</v>
      </c>
      <c r="AF148" s="57">
        <v>18.79</v>
      </c>
      <c r="AH148" s="57">
        <v>14.28</v>
      </c>
      <c r="AI148" s="58">
        <v>0</v>
      </c>
      <c r="AK148" s="57">
        <f t="shared" si="23"/>
        <v>28.56</v>
      </c>
      <c r="AP148" s="57">
        <v>0</v>
      </c>
      <c r="AQ148" s="59" t="s">
        <v>624</v>
      </c>
      <c r="AR148" s="60">
        <v>12</v>
      </c>
      <c r="AS148" s="60">
        <v>420</v>
      </c>
    </row>
    <row r="149" spans="2:45" s="57" customFormat="1">
      <c r="B149" s="46" t="s">
        <v>625</v>
      </c>
      <c r="C149" s="46" t="s">
        <v>626</v>
      </c>
      <c r="D149" s="46" t="s">
        <v>112</v>
      </c>
      <c r="E149" s="46" t="s">
        <v>56</v>
      </c>
      <c r="F149" s="46" t="s">
        <v>627</v>
      </c>
      <c r="G149" s="61">
        <v>6</v>
      </c>
      <c r="H149" s="48">
        <f t="shared" si="24"/>
        <v>27.59</v>
      </c>
      <c r="I149" s="49">
        <f t="shared" si="30"/>
        <v>165.54</v>
      </c>
      <c r="J149" s="50">
        <v>0.23</v>
      </c>
      <c r="K149" s="51">
        <f t="shared" si="25"/>
        <v>38.07419999999999</v>
      </c>
      <c r="L149" s="51">
        <f t="shared" si="27"/>
        <v>203.61419999999998</v>
      </c>
      <c r="M149" s="52"/>
      <c r="N149" s="53" t="s">
        <v>50</v>
      </c>
      <c r="O149" s="52">
        <v>18.39</v>
      </c>
      <c r="P149" s="54" t="s">
        <v>64</v>
      </c>
      <c r="Q149" s="54">
        <v>10.64</v>
      </c>
      <c r="R149" s="55">
        <v>14</v>
      </c>
      <c r="S149" s="54">
        <v>11</v>
      </c>
      <c r="T149" s="56">
        <f t="shared" si="26"/>
        <v>66</v>
      </c>
      <c r="U149" s="52">
        <v>6</v>
      </c>
      <c r="V149" s="52">
        <v>13.83</v>
      </c>
      <c r="W149" s="52">
        <f t="shared" si="31"/>
        <v>13.83</v>
      </c>
      <c r="X149" s="52">
        <f t="shared" si="28"/>
        <v>82.98</v>
      </c>
      <c r="Y149" s="52"/>
      <c r="Z149" s="52">
        <v>10</v>
      </c>
      <c r="AA149" s="52">
        <f t="shared" si="29"/>
        <v>60</v>
      </c>
      <c r="AB149" s="52"/>
      <c r="AC149" s="52"/>
      <c r="AD149" s="57" t="s">
        <v>628</v>
      </c>
      <c r="AE149" s="57" t="s">
        <v>115</v>
      </c>
      <c r="AH149" s="57">
        <v>10.64</v>
      </c>
      <c r="AI149" s="58">
        <v>4</v>
      </c>
      <c r="AK149" s="57">
        <f t="shared" si="23"/>
        <v>63.84</v>
      </c>
      <c r="AP149" s="57">
        <v>1</v>
      </c>
      <c r="AQ149" s="59" t="s">
        <v>629</v>
      </c>
      <c r="AR149" s="60">
        <v>20.967000000000002</v>
      </c>
      <c r="AS149" s="60">
        <v>167.73600000000002</v>
      </c>
    </row>
    <row r="150" spans="2:45" s="57" customFormat="1">
      <c r="B150" s="46" t="s">
        <v>630</v>
      </c>
      <c r="C150" s="46" t="s">
        <v>631</v>
      </c>
      <c r="D150" s="46" t="s">
        <v>112</v>
      </c>
      <c r="E150" s="46" t="s">
        <v>56</v>
      </c>
      <c r="F150" s="46" t="s">
        <v>632</v>
      </c>
      <c r="G150" s="61">
        <v>25</v>
      </c>
      <c r="H150" s="48">
        <f t="shared" si="24"/>
        <v>25.71</v>
      </c>
      <c r="I150" s="49">
        <f t="shared" si="30"/>
        <v>642.75</v>
      </c>
      <c r="J150" s="50">
        <v>0.23</v>
      </c>
      <c r="K150" s="51">
        <f t="shared" si="25"/>
        <v>147.83249999999998</v>
      </c>
      <c r="L150" s="51">
        <f t="shared" si="27"/>
        <v>790.58249999999998</v>
      </c>
      <c r="M150" s="52"/>
      <c r="N150" s="53" t="s">
        <v>50</v>
      </c>
      <c r="O150" s="52">
        <v>17.14</v>
      </c>
      <c r="P150" s="54" t="s">
        <v>64</v>
      </c>
      <c r="Q150" s="54">
        <v>13.28</v>
      </c>
      <c r="R150" s="55">
        <v>21</v>
      </c>
      <c r="S150" s="54">
        <v>15</v>
      </c>
      <c r="T150" s="56">
        <f t="shared" si="26"/>
        <v>375</v>
      </c>
      <c r="U150" s="52">
        <v>25</v>
      </c>
      <c r="V150" s="52">
        <v>22.3</v>
      </c>
      <c r="W150" s="52">
        <f t="shared" si="31"/>
        <v>22.3</v>
      </c>
      <c r="X150" s="52">
        <f t="shared" si="28"/>
        <v>557.5</v>
      </c>
      <c r="Y150" s="52"/>
      <c r="Z150" s="52">
        <v>16.989999999999998</v>
      </c>
      <c r="AA150" s="52">
        <f t="shared" si="29"/>
        <v>424.74999999999994</v>
      </c>
      <c r="AB150" s="52"/>
      <c r="AC150" s="52"/>
      <c r="AE150" s="57" t="s">
        <v>52</v>
      </c>
      <c r="AH150" s="57">
        <v>17.149999999999999</v>
      </c>
      <c r="AI150" s="58">
        <v>20</v>
      </c>
      <c r="AK150" s="57">
        <f t="shared" si="23"/>
        <v>428.74999999999994</v>
      </c>
      <c r="AP150" s="57">
        <v>0</v>
      </c>
      <c r="AQ150" s="59" t="s">
        <v>633</v>
      </c>
      <c r="AR150" s="60">
        <v>18</v>
      </c>
      <c r="AS150" s="60">
        <v>1080</v>
      </c>
    </row>
    <row r="151" spans="2:45" s="57" customFormat="1">
      <c r="B151" s="46" t="s">
        <v>634</v>
      </c>
      <c r="C151" s="64" t="s">
        <v>635</v>
      </c>
      <c r="D151" s="64" t="s">
        <v>636</v>
      </c>
      <c r="E151" s="64" t="s">
        <v>440</v>
      </c>
      <c r="F151" s="64" t="s">
        <v>637</v>
      </c>
      <c r="G151" s="47">
        <v>2</v>
      </c>
      <c r="H151" s="65">
        <f t="shared" si="24"/>
        <v>51.89</v>
      </c>
      <c r="I151" s="49">
        <f t="shared" si="30"/>
        <v>103.78</v>
      </c>
      <c r="J151" s="50">
        <v>0.23</v>
      </c>
      <c r="K151" s="51">
        <f t="shared" si="25"/>
        <v>23.869399999999999</v>
      </c>
      <c r="L151" s="51">
        <f t="shared" si="27"/>
        <v>127.6494</v>
      </c>
      <c r="M151" s="52"/>
      <c r="N151" s="53" t="s">
        <v>50</v>
      </c>
      <c r="O151" s="52">
        <v>34.590000000000003</v>
      </c>
      <c r="P151" s="54" t="s">
        <v>64</v>
      </c>
      <c r="Q151" s="54"/>
      <c r="R151" s="55"/>
      <c r="S151" s="54">
        <v>38</v>
      </c>
      <c r="T151" s="56">
        <f t="shared" si="26"/>
        <v>76</v>
      </c>
      <c r="U151" s="52">
        <v>2</v>
      </c>
      <c r="V151" s="52">
        <v>45.5</v>
      </c>
      <c r="W151" s="52">
        <f t="shared" si="31"/>
        <v>45.5</v>
      </c>
      <c r="X151" s="52">
        <f t="shared" si="28"/>
        <v>91</v>
      </c>
      <c r="Y151" s="52"/>
      <c r="Z151" s="52">
        <v>43.67</v>
      </c>
      <c r="AA151" s="52">
        <f t="shared" si="29"/>
        <v>87.34</v>
      </c>
      <c r="AB151" s="52"/>
      <c r="AC151" s="52"/>
      <c r="AE151" s="57" t="s">
        <v>52</v>
      </c>
      <c r="AH151" s="57">
        <v>35</v>
      </c>
      <c r="AI151" s="58">
        <v>0</v>
      </c>
      <c r="AK151" s="57">
        <f t="shared" si="23"/>
        <v>70</v>
      </c>
      <c r="AP151" s="57">
        <v>9</v>
      </c>
      <c r="AQ151" s="59" t="s">
        <v>638</v>
      </c>
      <c r="AR151" s="60">
        <v>68.091999999999999</v>
      </c>
      <c r="AS151" s="60">
        <v>680.92</v>
      </c>
    </row>
    <row r="152" spans="2:45" s="57" customFormat="1">
      <c r="B152" s="46" t="s">
        <v>639</v>
      </c>
      <c r="C152" s="46" t="s">
        <v>640</v>
      </c>
      <c r="D152" s="46" t="s">
        <v>205</v>
      </c>
      <c r="E152" s="46" t="s">
        <v>56</v>
      </c>
      <c r="F152" s="46" t="s">
        <v>641</v>
      </c>
      <c r="G152" s="61">
        <v>6</v>
      </c>
      <c r="H152" s="48">
        <f t="shared" si="24"/>
        <v>66.87</v>
      </c>
      <c r="I152" s="49">
        <f t="shared" si="30"/>
        <v>401.22</v>
      </c>
      <c r="J152" s="50">
        <v>0.23</v>
      </c>
      <c r="K152" s="51">
        <f t="shared" si="25"/>
        <v>92.280599999999993</v>
      </c>
      <c r="L152" s="51">
        <f t="shared" si="27"/>
        <v>493.50060000000002</v>
      </c>
      <c r="M152" s="52"/>
      <c r="N152" s="53" t="s">
        <v>50</v>
      </c>
      <c r="O152" s="52">
        <v>44.58</v>
      </c>
      <c r="P152" s="54" t="s">
        <v>64</v>
      </c>
      <c r="Q152" s="54">
        <v>33.51</v>
      </c>
      <c r="R152" s="55">
        <v>2</v>
      </c>
      <c r="S152" s="54">
        <v>36</v>
      </c>
      <c r="T152" s="56">
        <f t="shared" si="26"/>
        <v>216</v>
      </c>
      <c r="U152" s="52">
        <v>6</v>
      </c>
      <c r="V152" s="52">
        <v>48.33</v>
      </c>
      <c r="W152" s="52">
        <f t="shared" si="31"/>
        <v>48.33</v>
      </c>
      <c r="X152" s="52">
        <f t="shared" si="28"/>
        <v>289.98</v>
      </c>
      <c r="Y152" s="52"/>
      <c r="Z152" s="52">
        <v>43.2</v>
      </c>
      <c r="AA152" s="52">
        <f t="shared" si="29"/>
        <v>259.20000000000005</v>
      </c>
      <c r="AB152" s="52"/>
      <c r="AC152" s="52"/>
      <c r="AE152" s="57" t="s">
        <v>52</v>
      </c>
      <c r="AH152" s="57">
        <v>37.18</v>
      </c>
      <c r="AI152" s="58">
        <v>3</v>
      </c>
      <c r="AK152" s="57">
        <f t="shared" si="23"/>
        <v>223.07999999999998</v>
      </c>
      <c r="AP152" s="57">
        <v>2</v>
      </c>
      <c r="AQ152" s="59">
        <v>0</v>
      </c>
      <c r="AR152" s="59">
        <v>0</v>
      </c>
      <c r="AS152" s="60">
        <v>0</v>
      </c>
    </row>
    <row r="153" spans="2:45" s="57" customFormat="1">
      <c r="B153" s="46" t="s">
        <v>642</v>
      </c>
      <c r="C153" s="46" t="s">
        <v>643</v>
      </c>
      <c r="D153" s="46" t="s">
        <v>47</v>
      </c>
      <c r="E153" s="46" t="s">
        <v>56</v>
      </c>
      <c r="F153" s="46" t="s">
        <v>644</v>
      </c>
      <c r="G153" s="61">
        <v>6</v>
      </c>
      <c r="H153" s="48">
        <f t="shared" si="24"/>
        <v>31.74</v>
      </c>
      <c r="I153" s="49">
        <f t="shared" si="30"/>
        <v>190.44</v>
      </c>
      <c r="J153" s="50">
        <v>0.23</v>
      </c>
      <c r="K153" s="51">
        <f t="shared" si="25"/>
        <v>43.801199999999994</v>
      </c>
      <c r="L153" s="51">
        <f t="shared" si="27"/>
        <v>234.24119999999999</v>
      </c>
      <c r="M153" s="52"/>
      <c r="N153" s="53" t="s">
        <v>50</v>
      </c>
      <c r="O153" s="52">
        <v>21.16</v>
      </c>
      <c r="P153" s="54" t="s">
        <v>64</v>
      </c>
      <c r="Q153" s="54">
        <v>13.58</v>
      </c>
      <c r="R153" s="55">
        <v>7</v>
      </c>
      <c r="S153" s="54">
        <v>15</v>
      </c>
      <c r="T153" s="56">
        <f t="shared" si="26"/>
        <v>90</v>
      </c>
      <c r="U153" s="52">
        <v>6</v>
      </c>
      <c r="V153" s="52">
        <v>22.95</v>
      </c>
      <c r="W153" s="52">
        <f t="shared" si="31"/>
        <v>22.95</v>
      </c>
      <c r="X153" s="52">
        <f t="shared" si="28"/>
        <v>137.69999999999999</v>
      </c>
      <c r="Y153" s="52"/>
      <c r="Z153" s="52">
        <v>17.48</v>
      </c>
      <c r="AA153" s="52">
        <f t="shared" si="29"/>
        <v>104.88</v>
      </c>
      <c r="AB153" s="52"/>
      <c r="AC153" s="52"/>
      <c r="AE153" s="57" t="s">
        <v>52</v>
      </c>
      <c r="AH153" s="57">
        <v>17.649999999999999</v>
      </c>
      <c r="AI153" s="58">
        <v>3</v>
      </c>
      <c r="AK153" s="57">
        <f t="shared" si="23"/>
        <v>105.89999999999999</v>
      </c>
      <c r="AP153" s="57">
        <v>15</v>
      </c>
      <c r="AQ153" s="59">
        <v>0</v>
      </c>
      <c r="AR153" s="59">
        <v>0</v>
      </c>
      <c r="AS153" s="60">
        <v>0</v>
      </c>
    </row>
    <row r="154" spans="2:45" s="57" customFormat="1" ht="22.5">
      <c r="B154" s="46" t="s">
        <v>645</v>
      </c>
      <c r="C154" s="46" t="s">
        <v>646</v>
      </c>
      <c r="D154" s="46" t="s">
        <v>47</v>
      </c>
      <c r="E154" s="46" t="s">
        <v>56</v>
      </c>
      <c r="F154" s="46" t="s">
        <v>647</v>
      </c>
      <c r="G154" s="61">
        <v>1</v>
      </c>
      <c r="H154" s="48">
        <f t="shared" si="24"/>
        <v>290.7</v>
      </c>
      <c r="I154" s="49">
        <f t="shared" si="30"/>
        <v>290.7</v>
      </c>
      <c r="J154" s="50">
        <v>0.23</v>
      </c>
      <c r="K154" s="51">
        <f t="shared" si="25"/>
        <v>66.86099999999999</v>
      </c>
      <c r="L154" s="51">
        <f t="shared" si="27"/>
        <v>357.56099999999998</v>
      </c>
      <c r="M154" s="52"/>
      <c r="N154" s="53" t="s">
        <v>114</v>
      </c>
      <c r="O154" s="52">
        <v>193.8</v>
      </c>
      <c r="P154" s="54" t="s">
        <v>24</v>
      </c>
      <c r="Q154" s="54"/>
      <c r="R154" s="55">
        <v>5</v>
      </c>
      <c r="S154" s="54">
        <v>210</v>
      </c>
      <c r="T154" s="56">
        <f t="shared" si="26"/>
        <v>210</v>
      </c>
      <c r="U154" s="52">
        <v>1</v>
      </c>
      <c r="V154" s="52">
        <v>213.18</v>
      </c>
      <c r="W154" s="52">
        <f>ROUND(AH154*1.1,2)</f>
        <v>213.18</v>
      </c>
      <c r="X154" s="52">
        <f t="shared" si="28"/>
        <v>213.18</v>
      </c>
      <c r="Y154" s="52"/>
      <c r="Z154" s="52">
        <v>220.8</v>
      </c>
      <c r="AA154" s="52">
        <f t="shared" si="29"/>
        <v>220.8</v>
      </c>
      <c r="AB154" s="52"/>
      <c r="AC154" s="52"/>
      <c r="AE154" s="57" t="s">
        <v>115</v>
      </c>
      <c r="AF154" s="57">
        <v>255</v>
      </c>
      <c r="AH154" s="57">
        <v>193.8</v>
      </c>
      <c r="AI154" s="58">
        <v>0</v>
      </c>
      <c r="AJ154" s="57">
        <v>185</v>
      </c>
      <c r="AK154" s="57">
        <f>AJ154*G154</f>
        <v>185</v>
      </c>
      <c r="AP154" s="57">
        <v>0</v>
      </c>
      <c r="AQ154" s="59">
        <v>0</v>
      </c>
      <c r="AR154" s="59">
        <v>0</v>
      </c>
      <c r="AS154" s="60">
        <v>0</v>
      </c>
    </row>
    <row r="155" spans="2:45" s="57" customFormat="1" ht="22.5">
      <c r="B155" s="46" t="s">
        <v>648</v>
      </c>
      <c r="C155" s="46" t="s">
        <v>649</v>
      </c>
      <c r="D155" s="46" t="s">
        <v>47</v>
      </c>
      <c r="E155" s="46" t="s">
        <v>56</v>
      </c>
      <c r="F155" s="46" t="s">
        <v>650</v>
      </c>
      <c r="G155" s="47">
        <v>1</v>
      </c>
      <c r="H155" s="48">
        <f t="shared" si="24"/>
        <v>273.60000000000002</v>
      </c>
      <c r="I155" s="49">
        <f t="shared" si="30"/>
        <v>273.60000000000002</v>
      </c>
      <c r="J155" s="50">
        <v>0.23</v>
      </c>
      <c r="K155" s="51">
        <f t="shared" si="25"/>
        <v>62.927999999999997</v>
      </c>
      <c r="L155" s="51">
        <f t="shared" si="27"/>
        <v>336.52800000000002</v>
      </c>
      <c r="M155" s="52"/>
      <c r="N155" s="53" t="s">
        <v>114</v>
      </c>
      <c r="O155" s="52">
        <v>182.4</v>
      </c>
      <c r="P155" s="54" t="s">
        <v>24</v>
      </c>
      <c r="Q155" s="54"/>
      <c r="R155" s="55"/>
      <c r="S155" s="54">
        <v>200</v>
      </c>
      <c r="T155" s="56">
        <f t="shared" si="26"/>
        <v>200</v>
      </c>
      <c r="U155" s="52">
        <v>5</v>
      </c>
      <c r="V155" s="52">
        <v>237.12</v>
      </c>
      <c r="W155" s="52">
        <f t="shared" si="31"/>
        <v>237.12</v>
      </c>
      <c r="X155" s="52">
        <f t="shared" si="28"/>
        <v>237.12</v>
      </c>
      <c r="Y155" s="52"/>
      <c r="Z155" s="52">
        <v>214.8</v>
      </c>
      <c r="AA155" s="52">
        <f t="shared" si="29"/>
        <v>214.8</v>
      </c>
      <c r="AB155" s="52"/>
      <c r="AC155" s="52"/>
      <c r="AE155" s="57" t="s">
        <v>115</v>
      </c>
      <c r="AF155" s="57">
        <v>240</v>
      </c>
      <c r="AH155" s="57">
        <v>182.4</v>
      </c>
      <c r="AI155" s="58">
        <v>5</v>
      </c>
      <c r="AJ155" s="57">
        <v>175</v>
      </c>
      <c r="AK155" s="57">
        <f>AJ155*G155</f>
        <v>175</v>
      </c>
      <c r="AP155" s="57">
        <v>0</v>
      </c>
      <c r="AQ155" s="59">
        <v>0</v>
      </c>
      <c r="AR155" s="59">
        <v>0</v>
      </c>
      <c r="AS155" s="60">
        <v>0</v>
      </c>
    </row>
    <row r="156" spans="2:45" s="57" customFormat="1" ht="45">
      <c r="B156" s="46" t="s">
        <v>651</v>
      </c>
      <c r="C156" s="64" t="s">
        <v>652</v>
      </c>
      <c r="D156" s="64" t="s">
        <v>563</v>
      </c>
      <c r="E156" s="64" t="s">
        <v>612</v>
      </c>
      <c r="F156" s="64" t="s">
        <v>653</v>
      </c>
      <c r="G156" s="47">
        <v>12</v>
      </c>
      <c r="H156" s="65">
        <f>ROUND(O156*0.8,2)</f>
        <v>378</v>
      </c>
      <c r="I156" s="49">
        <f t="shared" si="30"/>
        <v>4536</v>
      </c>
      <c r="J156" s="50">
        <v>0.23</v>
      </c>
      <c r="K156" s="51">
        <f t="shared" si="25"/>
        <v>1043.2799999999997</v>
      </c>
      <c r="L156" s="51">
        <f t="shared" si="27"/>
        <v>5579.28</v>
      </c>
      <c r="M156" s="52"/>
      <c r="N156" s="53" t="s">
        <v>79</v>
      </c>
      <c r="O156" s="52">
        <f>140*4.5*0.75</f>
        <v>472.5</v>
      </c>
      <c r="P156" s="54" t="s">
        <v>24</v>
      </c>
      <c r="Q156" s="54"/>
      <c r="R156" s="55"/>
      <c r="S156" s="54">
        <f>140*4.5</f>
        <v>630</v>
      </c>
      <c r="T156" s="56">
        <f t="shared" si="26"/>
        <v>7560</v>
      </c>
      <c r="U156" s="52">
        <v>10</v>
      </c>
      <c r="V156" s="52">
        <v>351.34</v>
      </c>
      <c r="W156" s="52">
        <f>ROUND(AH156*1.05,2)</f>
        <v>351.34</v>
      </c>
      <c r="X156" s="52">
        <f t="shared" si="28"/>
        <v>4216.08</v>
      </c>
      <c r="Y156" s="52" t="s">
        <v>654</v>
      </c>
      <c r="Z156" s="52">
        <v>478</v>
      </c>
      <c r="AA156" s="52">
        <f t="shared" si="29"/>
        <v>5736</v>
      </c>
      <c r="AB156" s="52" t="s">
        <v>239</v>
      </c>
      <c r="AC156" s="52"/>
      <c r="AE156" s="57" t="s">
        <v>83</v>
      </c>
      <c r="AF156" s="57">
        <f>108.64*4.4</f>
        <v>478.01600000000002</v>
      </c>
      <c r="AH156" s="57">
        <f>AF156*0.7</f>
        <v>334.6112</v>
      </c>
      <c r="AI156" s="58">
        <v>3</v>
      </c>
      <c r="AK156" s="57">
        <f>AH156*G156</f>
        <v>4015.3343999999997</v>
      </c>
      <c r="AP156" s="57">
        <v>0</v>
      </c>
      <c r="AQ156" s="59" t="s">
        <v>655</v>
      </c>
      <c r="AR156" s="60">
        <v>24.200500000000002</v>
      </c>
      <c r="AS156" s="60">
        <v>484.01000000000005</v>
      </c>
    </row>
    <row r="157" spans="2:45" s="57" customFormat="1" ht="22.5">
      <c r="B157" s="46" t="s">
        <v>656</v>
      </c>
      <c r="C157" s="64" t="s">
        <v>657</v>
      </c>
      <c r="D157" s="64" t="s">
        <v>87</v>
      </c>
      <c r="E157" s="64" t="s">
        <v>56</v>
      </c>
      <c r="F157" s="64" t="s">
        <v>658</v>
      </c>
      <c r="G157" s="47">
        <v>12</v>
      </c>
      <c r="H157" s="65">
        <v>215</v>
      </c>
      <c r="I157" s="49">
        <f t="shared" si="30"/>
        <v>2580</v>
      </c>
      <c r="J157" s="50">
        <v>0.23</v>
      </c>
      <c r="K157" s="51">
        <f t="shared" si="25"/>
        <v>593.40000000000009</v>
      </c>
      <c r="L157" s="51">
        <f t="shared" si="27"/>
        <v>3173.4</v>
      </c>
      <c r="M157" s="52" t="s">
        <v>237</v>
      </c>
      <c r="N157" s="53" t="s">
        <v>114</v>
      </c>
      <c r="O157" s="52">
        <v>316.45999999999998</v>
      </c>
      <c r="P157" s="54" t="s">
        <v>24</v>
      </c>
      <c r="Q157" s="54"/>
      <c r="R157" s="55"/>
      <c r="S157" s="54">
        <v>350</v>
      </c>
      <c r="T157" s="56">
        <f t="shared" si="26"/>
        <v>4200</v>
      </c>
      <c r="U157" s="52">
        <v>5</v>
      </c>
      <c r="V157" s="52">
        <v>221.52</v>
      </c>
      <c r="W157" s="52">
        <f>ROUND(AH157*0.7,2)</f>
        <v>221.52</v>
      </c>
      <c r="X157" s="52">
        <f t="shared" si="28"/>
        <v>2658.2400000000002</v>
      </c>
      <c r="Y157" s="52" t="s">
        <v>447</v>
      </c>
      <c r="Z157" s="52">
        <v>305</v>
      </c>
      <c r="AA157" s="52">
        <f t="shared" si="29"/>
        <v>3660</v>
      </c>
      <c r="AB157" s="52" t="s">
        <v>239</v>
      </c>
      <c r="AC157" s="52"/>
      <c r="AE157" s="57" t="s">
        <v>115</v>
      </c>
      <c r="AF157" s="57">
        <v>416.4</v>
      </c>
      <c r="AH157" s="57">
        <v>316.45999999999998</v>
      </c>
      <c r="AI157" s="58" t="s">
        <v>239</v>
      </c>
      <c r="AJ157" s="57">
        <v>305</v>
      </c>
      <c r="AK157" s="57">
        <f>AJ157*G157</f>
        <v>3660</v>
      </c>
      <c r="AP157" s="57">
        <v>1</v>
      </c>
      <c r="AQ157" s="59">
        <v>0</v>
      </c>
      <c r="AR157" s="59">
        <v>0</v>
      </c>
      <c r="AS157" s="60">
        <v>0</v>
      </c>
    </row>
    <row r="158" spans="2:45" s="57" customFormat="1" ht="45">
      <c r="B158" s="46" t="s">
        <v>659</v>
      </c>
      <c r="C158" s="46" t="s">
        <v>660</v>
      </c>
      <c r="D158" s="46" t="s">
        <v>106</v>
      </c>
      <c r="E158" s="46" t="s">
        <v>107</v>
      </c>
      <c r="F158" s="46" t="s">
        <v>661</v>
      </c>
      <c r="G158" s="47">
        <v>2</v>
      </c>
      <c r="H158" s="48">
        <f t="shared" si="24"/>
        <v>37.01</v>
      </c>
      <c r="I158" s="49">
        <f t="shared" si="30"/>
        <v>74.02</v>
      </c>
      <c r="J158" s="50">
        <v>0.23</v>
      </c>
      <c r="K158" s="51">
        <f t="shared" si="25"/>
        <v>17.024600000000007</v>
      </c>
      <c r="L158" s="51">
        <f t="shared" si="27"/>
        <v>91.044600000000003</v>
      </c>
      <c r="M158" s="52"/>
      <c r="N158" s="53" t="s">
        <v>50</v>
      </c>
      <c r="O158" s="52">
        <v>24.67</v>
      </c>
      <c r="P158" s="54" t="s">
        <v>64</v>
      </c>
      <c r="Q158" s="54">
        <v>7.95</v>
      </c>
      <c r="R158" s="55">
        <v>2</v>
      </c>
      <c r="S158" s="54">
        <v>9</v>
      </c>
      <c r="T158" s="56">
        <f t="shared" si="26"/>
        <v>18</v>
      </c>
      <c r="U158" s="52">
        <v>10</v>
      </c>
      <c r="V158" s="52">
        <v>10.73</v>
      </c>
      <c r="W158" s="52">
        <f>ROUND(AN158*1.35,2)</f>
        <v>10.73</v>
      </c>
      <c r="X158" s="52">
        <f t="shared" si="28"/>
        <v>21.46</v>
      </c>
      <c r="Y158" s="52"/>
      <c r="Z158" s="52">
        <v>21.14</v>
      </c>
      <c r="AA158" s="52">
        <f t="shared" si="29"/>
        <v>42.28</v>
      </c>
      <c r="AB158" s="57" t="s">
        <v>128</v>
      </c>
      <c r="AC158" s="52"/>
      <c r="AD158" s="82" t="s">
        <v>662</v>
      </c>
      <c r="AE158" s="57" t="s">
        <v>52</v>
      </c>
      <c r="AH158" s="57">
        <v>25.01</v>
      </c>
      <c r="AI158" s="58">
        <v>0</v>
      </c>
      <c r="AK158" s="57">
        <f t="shared" ref="AK158:AK189" si="32">AH158*G158</f>
        <v>50.02</v>
      </c>
      <c r="AM158" s="57" t="s">
        <v>115</v>
      </c>
      <c r="AN158" s="57">
        <v>7.95</v>
      </c>
      <c r="AP158" s="57">
        <v>0</v>
      </c>
      <c r="AQ158" s="59">
        <v>0</v>
      </c>
      <c r="AR158" s="59">
        <v>0</v>
      </c>
      <c r="AS158" s="60">
        <v>0</v>
      </c>
    </row>
    <row r="159" spans="2:45" s="57" customFormat="1">
      <c r="B159" s="46" t="s">
        <v>663</v>
      </c>
      <c r="C159" s="46" t="s">
        <v>664</v>
      </c>
      <c r="D159" s="46" t="s">
        <v>47</v>
      </c>
      <c r="E159" s="46" t="s">
        <v>56</v>
      </c>
      <c r="F159" s="46" t="s">
        <v>665</v>
      </c>
      <c r="G159" s="76">
        <v>100</v>
      </c>
      <c r="H159" s="48">
        <f t="shared" si="24"/>
        <v>21.77</v>
      </c>
      <c r="I159" s="49">
        <f t="shared" si="30"/>
        <v>2177</v>
      </c>
      <c r="J159" s="50">
        <v>0.23</v>
      </c>
      <c r="K159" s="51">
        <f t="shared" si="25"/>
        <v>500.71000000000004</v>
      </c>
      <c r="L159" s="51">
        <f t="shared" si="27"/>
        <v>2677.71</v>
      </c>
      <c r="M159" s="52" t="s">
        <v>666</v>
      </c>
      <c r="N159" s="53" t="s">
        <v>50</v>
      </c>
      <c r="O159" s="52">
        <v>14.51</v>
      </c>
      <c r="P159" s="54" t="s">
        <v>64</v>
      </c>
      <c r="Q159" s="54">
        <v>12.59</v>
      </c>
      <c r="R159" s="55">
        <v>65</v>
      </c>
      <c r="S159" s="54">
        <v>14</v>
      </c>
      <c r="T159" s="56">
        <f t="shared" si="26"/>
        <v>1400</v>
      </c>
      <c r="U159" s="52">
        <v>100</v>
      </c>
      <c r="V159" s="52">
        <v>15.72</v>
      </c>
      <c r="W159" s="52">
        <f t="shared" si="31"/>
        <v>15.72</v>
      </c>
      <c r="X159" s="52">
        <f t="shared" si="28"/>
        <v>1572</v>
      </c>
      <c r="Y159" s="52"/>
      <c r="Z159" s="52">
        <v>14.38</v>
      </c>
      <c r="AA159" s="52">
        <f t="shared" si="29"/>
        <v>1438</v>
      </c>
      <c r="AB159" s="52"/>
      <c r="AC159" s="52"/>
      <c r="AE159" s="57" t="s">
        <v>52</v>
      </c>
      <c r="AH159" s="57">
        <v>12.09</v>
      </c>
      <c r="AI159" s="58">
        <v>71</v>
      </c>
      <c r="AK159" s="57">
        <f t="shared" si="32"/>
        <v>1209</v>
      </c>
      <c r="AP159" s="57">
        <v>0</v>
      </c>
      <c r="AQ159" s="59">
        <v>0</v>
      </c>
      <c r="AR159" s="59">
        <v>0</v>
      </c>
      <c r="AS159" s="60">
        <v>0</v>
      </c>
    </row>
    <row r="160" spans="2:45" s="57" customFormat="1">
      <c r="B160" s="46" t="s">
        <v>667</v>
      </c>
      <c r="C160" s="46" t="s">
        <v>664</v>
      </c>
      <c r="D160" s="46" t="s">
        <v>47</v>
      </c>
      <c r="E160" s="46" t="s">
        <v>56</v>
      </c>
      <c r="F160" s="46" t="s">
        <v>383</v>
      </c>
      <c r="G160" s="76">
        <v>3</v>
      </c>
      <c r="H160" s="48">
        <f t="shared" si="24"/>
        <v>32.31</v>
      </c>
      <c r="I160" s="49">
        <f t="shared" si="30"/>
        <v>96.93</v>
      </c>
      <c r="J160" s="50">
        <v>0.23</v>
      </c>
      <c r="K160" s="51">
        <f t="shared" si="25"/>
        <v>22.293900000000008</v>
      </c>
      <c r="L160" s="51">
        <f t="shared" si="27"/>
        <v>119.22390000000001</v>
      </c>
      <c r="M160" s="52"/>
      <c r="N160" s="53" t="s">
        <v>58</v>
      </c>
      <c r="O160" s="52">
        <v>21.54</v>
      </c>
      <c r="P160" s="54" t="s">
        <v>59</v>
      </c>
      <c r="Q160" s="54"/>
      <c r="R160" s="55"/>
      <c r="S160" s="54">
        <v>22</v>
      </c>
      <c r="T160" s="56">
        <f t="shared" si="26"/>
        <v>66</v>
      </c>
      <c r="U160" s="52">
        <v>3</v>
      </c>
      <c r="V160" s="52">
        <v>24.13</v>
      </c>
      <c r="W160" s="52">
        <f>ROUND(AH160*1.2,2)</f>
        <v>24.13</v>
      </c>
      <c r="X160" s="52">
        <f t="shared" si="28"/>
        <v>72.39</v>
      </c>
      <c r="Y160" s="52">
        <v>0.2</v>
      </c>
      <c r="Z160" s="52">
        <v>21.34</v>
      </c>
      <c r="AA160" s="52">
        <f t="shared" si="29"/>
        <v>64.02</v>
      </c>
      <c r="AB160" s="52"/>
      <c r="AC160" s="52"/>
      <c r="AE160" s="57" t="s">
        <v>60</v>
      </c>
      <c r="AF160" s="57">
        <v>25.14</v>
      </c>
      <c r="AG160" s="62">
        <v>0.2</v>
      </c>
      <c r="AH160" s="57">
        <f>AF160*0.8</f>
        <v>20.112000000000002</v>
      </c>
      <c r="AI160" s="58">
        <v>0</v>
      </c>
      <c r="AK160" s="57">
        <f t="shared" si="32"/>
        <v>60.336000000000006</v>
      </c>
      <c r="AP160" s="57">
        <v>4</v>
      </c>
      <c r="AQ160" s="59" t="s">
        <v>668</v>
      </c>
      <c r="AR160" s="60">
        <v>17.153500000000001</v>
      </c>
      <c r="AS160" s="60">
        <v>857.67500000000007</v>
      </c>
    </row>
    <row r="161" spans="2:45" s="57" customFormat="1" ht="22.5">
      <c r="B161" s="46" t="s">
        <v>669</v>
      </c>
      <c r="C161" s="64" t="s">
        <v>670</v>
      </c>
      <c r="D161" s="64" t="s">
        <v>563</v>
      </c>
      <c r="E161" s="64" t="s">
        <v>609</v>
      </c>
      <c r="F161" s="64" t="s">
        <v>671</v>
      </c>
      <c r="G161" s="77">
        <v>12</v>
      </c>
      <c r="H161" s="65">
        <f>ROUND(O161*0.6,2)</f>
        <v>769.42</v>
      </c>
      <c r="I161" s="49">
        <f t="shared" si="30"/>
        <v>9233.0399999999991</v>
      </c>
      <c r="J161" s="50">
        <v>0.23</v>
      </c>
      <c r="K161" s="51">
        <f t="shared" si="25"/>
        <v>2123.5991999999987</v>
      </c>
      <c r="L161" s="51">
        <f t="shared" si="27"/>
        <v>11356.639199999998</v>
      </c>
      <c r="M161" s="52"/>
      <c r="N161" s="53" t="s">
        <v>79</v>
      </c>
      <c r="O161" s="52">
        <f>379.96*4.5*0.75</f>
        <v>1282.365</v>
      </c>
      <c r="P161" s="54" t="s">
        <v>24</v>
      </c>
      <c r="Q161" s="54"/>
      <c r="R161" s="55"/>
      <c r="S161" s="54">
        <f>379.96*4.5</f>
        <v>1709.82</v>
      </c>
      <c r="T161" s="56">
        <f t="shared" si="26"/>
        <v>20517.84</v>
      </c>
      <c r="U161" s="52">
        <v>2</v>
      </c>
      <c r="V161" s="52">
        <v>744.08</v>
      </c>
      <c r="W161" s="52">
        <f>ROUND(AH161*0.8,2)</f>
        <v>744.08</v>
      </c>
      <c r="X161" s="52">
        <f t="shared" si="28"/>
        <v>8928.9600000000009</v>
      </c>
      <c r="Y161" s="52" t="s">
        <v>238</v>
      </c>
      <c r="Z161" s="52">
        <v>1330</v>
      </c>
      <c r="AA161" s="52">
        <f t="shared" si="29"/>
        <v>15960</v>
      </c>
      <c r="AB161" s="52"/>
      <c r="AC161" s="52"/>
      <c r="AE161" s="57" t="s">
        <v>83</v>
      </c>
      <c r="AF161" s="57">
        <f>301.98*4.4</f>
        <v>1328.7120000000002</v>
      </c>
      <c r="AH161" s="57">
        <f>AF161*0.7</f>
        <v>930.09840000000008</v>
      </c>
      <c r="AI161" s="58"/>
      <c r="AK161" s="57">
        <f t="shared" si="32"/>
        <v>11161.180800000002</v>
      </c>
      <c r="AP161" s="57">
        <v>20</v>
      </c>
      <c r="AQ161" s="59" t="s">
        <v>672</v>
      </c>
      <c r="AR161" s="60">
        <v>35</v>
      </c>
      <c r="AS161" s="60">
        <v>70</v>
      </c>
    </row>
    <row r="162" spans="2:45" s="57" customFormat="1">
      <c r="B162" s="46" t="s">
        <v>673</v>
      </c>
      <c r="C162" s="46" t="s">
        <v>674</v>
      </c>
      <c r="D162" s="46" t="s">
        <v>47</v>
      </c>
      <c r="E162" s="46" t="s">
        <v>56</v>
      </c>
      <c r="F162" s="46" t="s">
        <v>675</v>
      </c>
      <c r="G162" s="61">
        <v>25</v>
      </c>
      <c r="H162" s="48">
        <f t="shared" si="24"/>
        <v>60.78</v>
      </c>
      <c r="I162" s="49">
        <f t="shared" si="30"/>
        <v>1519.5</v>
      </c>
      <c r="J162" s="50">
        <v>0.23</v>
      </c>
      <c r="K162" s="51">
        <f t="shared" si="25"/>
        <v>349.48500000000013</v>
      </c>
      <c r="L162" s="51">
        <f t="shared" si="27"/>
        <v>1868.9850000000001</v>
      </c>
      <c r="M162" s="52"/>
      <c r="N162" s="53" t="s">
        <v>50</v>
      </c>
      <c r="O162" s="52">
        <v>40.520000000000003</v>
      </c>
      <c r="P162" s="54" t="s">
        <v>64</v>
      </c>
      <c r="Q162" s="54">
        <v>22.56</v>
      </c>
      <c r="R162" s="55">
        <v>11</v>
      </c>
      <c r="S162" s="54">
        <v>24</v>
      </c>
      <c r="T162" s="56">
        <f t="shared" si="26"/>
        <v>600</v>
      </c>
      <c r="U162" s="52">
        <v>25</v>
      </c>
      <c r="V162" s="52">
        <v>52.73</v>
      </c>
      <c r="W162" s="52">
        <f t="shared" si="31"/>
        <v>52.73</v>
      </c>
      <c r="X162" s="52">
        <f t="shared" si="28"/>
        <v>1318.25</v>
      </c>
      <c r="Y162" s="52"/>
      <c r="Z162" s="52">
        <v>39</v>
      </c>
      <c r="AA162" s="52">
        <f t="shared" si="29"/>
        <v>975</v>
      </c>
      <c r="AB162" s="52"/>
      <c r="AC162" s="52"/>
      <c r="AE162" s="57" t="s">
        <v>52</v>
      </c>
      <c r="AH162" s="57">
        <v>40.56</v>
      </c>
      <c r="AI162" s="58">
        <v>11</v>
      </c>
      <c r="AK162" s="57">
        <f t="shared" si="32"/>
        <v>1014</v>
      </c>
      <c r="AP162" s="57">
        <v>0</v>
      </c>
      <c r="AQ162" s="59" t="s">
        <v>676</v>
      </c>
      <c r="AR162" s="60">
        <v>37.177999999999997</v>
      </c>
      <c r="AS162" s="60">
        <v>185.89</v>
      </c>
    </row>
    <row r="163" spans="2:45" s="57" customFormat="1">
      <c r="B163" s="46" t="s">
        <v>677</v>
      </c>
      <c r="C163" s="46" t="s">
        <v>678</v>
      </c>
      <c r="D163" s="46" t="s">
        <v>47</v>
      </c>
      <c r="E163" s="83">
        <v>0.99</v>
      </c>
      <c r="F163" s="64" t="s">
        <v>679</v>
      </c>
      <c r="G163" s="47">
        <v>2</v>
      </c>
      <c r="H163" s="48">
        <f>ROUND(O163*1.2,2)</f>
        <v>110.25</v>
      </c>
      <c r="I163" s="49">
        <f t="shared" si="30"/>
        <v>220.5</v>
      </c>
      <c r="J163" s="50">
        <v>0.23</v>
      </c>
      <c r="K163" s="51">
        <f t="shared" si="25"/>
        <v>50.715000000000032</v>
      </c>
      <c r="L163" s="51">
        <f t="shared" si="27"/>
        <v>271.21500000000003</v>
      </c>
      <c r="M163" s="52" t="s">
        <v>177</v>
      </c>
      <c r="N163" s="52" t="s">
        <v>134</v>
      </c>
      <c r="O163" s="52">
        <f>23.2*4.5*0.88</f>
        <v>91.872</v>
      </c>
      <c r="P163" s="54" t="s">
        <v>24</v>
      </c>
      <c r="Q163" s="54"/>
      <c r="R163" s="55"/>
      <c r="S163" s="54">
        <v>99</v>
      </c>
      <c r="T163" s="56">
        <f t="shared" si="26"/>
        <v>198</v>
      </c>
      <c r="U163" s="52">
        <v>4</v>
      </c>
      <c r="V163" s="52">
        <v>27.82</v>
      </c>
      <c r="W163" s="52">
        <f t="shared" si="31"/>
        <v>27.82</v>
      </c>
      <c r="X163" s="52">
        <f t="shared" si="28"/>
        <v>55.64</v>
      </c>
      <c r="Y163" s="52"/>
      <c r="Z163" s="52">
        <v>39.06</v>
      </c>
      <c r="AA163" s="52">
        <f t="shared" si="29"/>
        <v>78.12</v>
      </c>
      <c r="AB163" s="52"/>
      <c r="AC163" s="52"/>
      <c r="AE163" s="57" t="s">
        <v>52</v>
      </c>
      <c r="AH163" s="57">
        <v>21.4</v>
      </c>
      <c r="AI163" s="58">
        <v>1</v>
      </c>
      <c r="AK163" s="57">
        <f t="shared" si="32"/>
        <v>42.8</v>
      </c>
      <c r="AP163" s="57">
        <v>3</v>
      </c>
      <c r="AQ163" s="59" t="s">
        <v>680</v>
      </c>
      <c r="AR163" s="60">
        <v>17.6465</v>
      </c>
      <c r="AS163" s="60">
        <v>441.16249999999997</v>
      </c>
    </row>
    <row r="164" spans="2:45" s="57" customFormat="1" ht="22.5">
      <c r="B164" s="46" t="s">
        <v>681</v>
      </c>
      <c r="C164" s="46" t="s">
        <v>682</v>
      </c>
      <c r="D164" s="46" t="s">
        <v>112</v>
      </c>
      <c r="E164" s="64" t="s">
        <v>56</v>
      </c>
      <c r="F164" s="64" t="s">
        <v>683</v>
      </c>
      <c r="G164" s="47">
        <v>2</v>
      </c>
      <c r="H164" s="48">
        <f t="shared" si="24"/>
        <v>77.069999999999993</v>
      </c>
      <c r="I164" s="49">
        <f t="shared" si="30"/>
        <v>154.13999999999999</v>
      </c>
      <c r="J164" s="50">
        <v>0.23</v>
      </c>
      <c r="K164" s="51">
        <f t="shared" si="25"/>
        <v>35.452200000000005</v>
      </c>
      <c r="L164" s="51">
        <f t="shared" si="27"/>
        <v>189.59219999999999</v>
      </c>
      <c r="M164" s="52" t="s">
        <v>684</v>
      </c>
      <c r="N164" s="53" t="s">
        <v>114</v>
      </c>
      <c r="O164" s="52">
        <v>51.38</v>
      </c>
      <c r="P164" s="54" t="s">
        <v>24</v>
      </c>
      <c r="Q164" s="54"/>
      <c r="R164" s="55"/>
      <c r="S164" s="54">
        <v>55</v>
      </c>
      <c r="T164" s="56">
        <f t="shared" si="26"/>
        <v>110</v>
      </c>
      <c r="U164" s="52">
        <v>2</v>
      </c>
      <c r="V164" s="52">
        <v>164.5</v>
      </c>
      <c r="W164" s="52">
        <f>ROUND(AH164*0.5,2)</f>
        <v>164.5</v>
      </c>
      <c r="X164" s="52">
        <f t="shared" si="28"/>
        <v>329</v>
      </c>
      <c r="Y164" s="52" t="s">
        <v>685</v>
      </c>
      <c r="Z164" s="52">
        <v>311.14</v>
      </c>
      <c r="AA164" s="52">
        <f t="shared" si="29"/>
        <v>622.28</v>
      </c>
      <c r="AB164" s="57" t="s">
        <v>128</v>
      </c>
      <c r="AC164" s="52"/>
      <c r="AE164" s="57" t="s">
        <v>52</v>
      </c>
      <c r="AH164" s="57">
        <v>329</v>
      </c>
      <c r="AI164" s="58">
        <v>0</v>
      </c>
      <c r="AK164" s="57">
        <f t="shared" si="32"/>
        <v>658</v>
      </c>
      <c r="AP164" s="57">
        <v>3</v>
      </c>
      <c r="AQ164" s="59">
        <v>0</v>
      </c>
      <c r="AR164" s="59">
        <v>0</v>
      </c>
      <c r="AS164" s="60">
        <v>0</v>
      </c>
    </row>
    <row r="165" spans="2:45" s="57" customFormat="1">
      <c r="B165" s="46" t="s">
        <v>686</v>
      </c>
      <c r="C165" s="46" t="s">
        <v>687</v>
      </c>
      <c r="D165" s="46" t="s">
        <v>47</v>
      </c>
      <c r="E165" s="64" t="s">
        <v>56</v>
      </c>
      <c r="F165" s="64" t="s">
        <v>688</v>
      </c>
      <c r="G165" s="77">
        <v>120</v>
      </c>
      <c r="H165" s="48">
        <f t="shared" si="24"/>
        <v>25.2</v>
      </c>
      <c r="I165" s="49">
        <f t="shared" si="30"/>
        <v>3024</v>
      </c>
      <c r="J165" s="50">
        <v>0.23</v>
      </c>
      <c r="K165" s="51">
        <f t="shared" si="25"/>
        <v>695.52</v>
      </c>
      <c r="L165" s="51">
        <f t="shared" si="27"/>
        <v>3719.52</v>
      </c>
      <c r="M165" s="52" t="s">
        <v>689</v>
      </c>
      <c r="N165" s="53" t="s">
        <v>50</v>
      </c>
      <c r="O165" s="52">
        <v>16.8</v>
      </c>
      <c r="P165" s="54" t="s">
        <v>51</v>
      </c>
      <c r="Q165" s="54">
        <v>9.1199999999999992</v>
      </c>
      <c r="R165" s="55">
        <v>95</v>
      </c>
      <c r="S165" s="54">
        <v>10</v>
      </c>
      <c r="T165" s="56">
        <f t="shared" si="26"/>
        <v>1200</v>
      </c>
      <c r="U165" s="52">
        <v>220</v>
      </c>
      <c r="V165" s="52">
        <v>23.27</v>
      </c>
      <c r="W165" s="52">
        <f t="shared" si="31"/>
        <v>23.27</v>
      </c>
      <c r="X165" s="52">
        <f t="shared" si="28"/>
        <v>2792.4</v>
      </c>
      <c r="Y165" s="52"/>
      <c r="Z165" s="52">
        <v>21.82</v>
      </c>
      <c r="AA165" s="52">
        <f t="shared" si="29"/>
        <v>2618.4</v>
      </c>
      <c r="AB165" s="52"/>
      <c r="AC165" s="52"/>
      <c r="AE165" s="57" t="s">
        <v>52</v>
      </c>
      <c r="AH165" s="57">
        <v>17.899999999999999</v>
      </c>
      <c r="AI165" s="58">
        <v>99</v>
      </c>
      <c r="AK165" s="57">
        <f t="shared" si="32"/>
        <v>2148</v>
      </c>
      <c r="AP165" s="57">
        <v>0</v>
      </c>
      <c r="AQ165" s="59">
        <v>0</v>
      </c>
      <c r="AR165" s="59">
        <v>0</v>
      </c>
      <c r="AS165" s="60">
        <v>0</v>
      </c>
    </row>
    <row r="166" spans="2:45" s="57" customFormat="1">
      <c r="B166" s="46" t="s">
        <v>690</v>
      </c>
      <c r="C166" s="46" t="s">
        <v>691</v>
      </c>
      <c r="D166" s="46" t="s">
        <v>599</v>
      </c>
      <c r="E166" s="64" t="s">
        <v>56</v>
      </c>
      <c r="F166" s="64" t="s">
        <v>688</v>
      </c>
      <c r="G166" s="47">
        <v>20</v>
      </c>
      <c r="H166" s="48">
        <f t="shared" si="24"/>
        <v>91.17</v>
      </c>
      <c r="I166" s="49">
        <f t="shared" si="30"/>
        <v>1823.4</v>
      </c>
      <c r="J166" s="50">
        <v>0.23</v>
      </c>
      <c r="K166" s="51">
        <f t="shared" si="25"/>
        <v>419.38200000000006</v>
      </c>
      <c r="L166" s="51">
        <f t="shared" si="27"/>
        <v>2242.7820000000002</v>
      </c>
      <c r="M166" s="52"/>
      <c r="N166" s="53" t="s">
        <v>50</v>
      </c>
      <c r="O166" s="52">
        <v>60.78</v>
      </c>
      <c r="P166" s="54" t="s">
        <v>64</v>
      </c>
      <c r="Q166" s="54">
        <f>8.11*5</f>
        <v>40.549999999999997</v>
      </c>
      <c r="R166" s="55">
        <v>31</v>
      </c>
      <c r="S166" s="54">
        <v>44</v>
      </c>
      <c r="T166" s="56">
        <f t="shared" si="26"/>
        <v>880</v>
      </c>
      <c r="U166" s="52">
        <v>20</v>
      </c>
      <c r="V166" s="52">
        <v>91</v>
      </c>
      <c r="W166" s="52">
        <f t="shared" si="31"/>
        <v>91</v>
      </c>
      <c r="X166" s="52">
        <f t="shared" si="28"/>
        <v>1820</v>
      </c>
      <c r="Y166" s="52"/>
      <c r="Z166" s="52">
        <v>88.8</v>
      </c>
      <c r="AA166" s="52">
        <f t="shared" si="29"/>
        <v>1776</v>
      </c>
      <c r="AB166" s="52"/>
      <c r="AC166" s="52"/>
      <c r="AE166" s="57" t="s">
        <v>52</v>
      </c>
      <c r="AH166" s="57">
        <v>70</v>
      </c>
      <c r="AI166" s="58">
        <v>15</v>
      </c>
      <c r="AK166" s="57">
        <f t="shared" si="32"/>
        <v>1400</v>
      </c>
      <c r="AP166" s="57">
        <v>5</v>
      </c>
      <c r="AQ166" s="59">
        <v>0</v>
      </c>
      <c r="AR166" s="59">
        <v>0</v>
      </c>
      <c r="AS166" s="60">
        <v>0</v>
      </c>
    </row>
    <row r="167" spans="2:45" s="57" customFormat="1">
      <c r="B167" s="46" t="s">
        <v>692</v>
      </c>
      <c r="C167" s="46" t="s">
        <v>691</v>
      </c>
      <c r="D167" s="46" t="s">
        <v>693</v>
      </c>
      <c r="E167" s="46" t="s">
        <v>56</v>
      </c>
      <c r="F167" s="46" t="s">
        <v>688</v>
      </c>
      <c r="G167" s="61">
        <v>2</v>
      </c>
      <c r="H167" s="48">
        <f t="shared" si="24"/>
        <v>122.93</v>
      </c>
      <c r="I167" s="49">
        <f t="shared" si="30"/>
        <v>245.86</v>
      </c>
      <c r="J167" s="50">
        <v>0.23</v>
      </c>
      <c r="K167" s="51">
        <f t="shared" si="25"/>
        <v>56.547799999999995</v>
      </c>
      <c r="L167" s="51">
        <f t="shared" si="27"/>
        <v>302.40780000000001</v>
      </c>
      <c r="M167" s="52"/>
      <c r="N167" s="53" t="s">
        <v>50</v>
      </c>
      <c r="O167" s="52">
        <v>81.95</v>
      </c>
      <c r="P167" s="54" t="s">
        <v>64</v>
      </c>
      <c r="Q167" s="54">
        <f>7.84*10</f>
        <v>78.400000000000006</v>
      </c>
      <c r="R167" s="55">
        <v>1</v>
      </c>
      <c r="S167" s="54">
        <v>83</v>
      </c>
      <c r="T167" s="56">
        <f t="shared" si="26"/>
        <v>166</v>
      </c>
      <c r="U167" s="52">
        <v>2</v>
      </c>
      <c r="V167" s="52">
        <v>163.80000000000001</v>
      </c>
      <c r="W167" s="52">
        <f t="shared" si="31"/>
        <v>163.80000000000001</v>
      </c>
      <c r="X167" s="52">
        <f t="shared" si="28"/>
        <v>327.60000000000002</v>
      </c>
      <c r="Y167" s="52"/>
      <c r="Z167" s="52">
        <v>151.19999999999999</v>
      </c>
      <c r="AA167" s="52">
        <f t="shared" si="29"/>
        <v>302.39999999999998</v>
      </c>
      <c r="AB167" s="52"/>
      <c r="AC167" s="52"/>
      <c r="AE167" s="57" t="s">
        <v>52</v>
      </c>
      <c r="AH167" s="57">
        <v>126</v>
      </c>
      <c r="AI167" s="58">
        <v>1</v>
      </c>
      <c r="AK167" s="57">
        <f t="shared" si="32"/>
        <v>252</v>
      </c>
      <c r="AP167" s="57">
        <v>3</v>
      </c>
      <c r="AQ167" s="59" t="s">
        <v>694</v>
      </c>
      <c r="AR167" s="60">
        <v>25.012499999999999</v>
      </c>
      <c r="AS167" s="60">
        <v>1250.625</v>
      </c>
    </row>
    <row r="168" spans="2:45" s="57" customFormat="1" ht="22.5">
      <c r="B168" s="46" t="s">
        <v>695</v>
      </c>
      <c r="C168" s="46" t="s">
        <v>687</v>
      </c>
      <c r="D168" s="46" t="s">
        <v>47</v>
      </c>
      <c r="E168" s="46" t="s">
        <v>56</v>
      </c>
      <c r="F168" s="46" t="s">
        <v>696</v>
      </c>
      <c r="G168" s="76">
        <v>5</v>
      </c>
      <c r="H168" s="48">
        <f>ROUND(O168*1.2,2)</f>
        <v>27.72</v>
      </c>
      <c r="I168" s="49">
        <f t="shared" si="30"/>
        <v>138.6</v>
      </c>
      <c r="J168" s="50">
        <v>0.23</v>
      </c>
      <c r="K168" s="51">
        <f t="shared" si="25"/>
        <v>31.878000000000014</v>
      </c>
      <c r="L168" s="51">
        <f t="shared" si="27"/>
        <v>170.47800000000001</v>
      </c>
      <c r="M168" s="52"/>
      <c r="N168" s="53" t="s">
        <v>58</v>
      </c>
      <c r="O168" s="52">
        <v>23.1</v>
      </c>
      <c r="P168" s="54" t="s">
        <v>59</v>
      </c>
      <c r="Q168" s="54"/>
      <c r="R168" s="55"/>
      <c r="S168" s="54">
        <v>24</v>
      </c>
      <c r="T168" s="56">
        <f t="shared" si="26"/>
        <v>120</v>
      </c>
      <c r="U168" s="52">
        <v>5</v>
      </c>
      <c r="V168" s="52">
        <v>28.02</v>
      </c>
      <c r="W168" s="52">
        <f t="shared" si="31"/>
        <v>28.02</v>
      </c>
      <c r="X168" s="52">
        <f t="shared" si="28"/>
        <v>140.1</v>
      </c>
      <c r="Y168" s="52"/>
      <c r="Z168" s="52">
        <v>27.82</v>
      </c>
      <c r="AA168" s="52">
        <f t="shared" si="29"/>
        <v>139.1</v>
      </c>
      <c r="AB168" s="52"/>
      <c r="AC168" s="52"/>
      <c r="AE168" s="57" t="s">
        <v>60</v>
      </c>
      <c r="AF168" s="57">
        <v>26.94</v>
      </c>
      <c r="AG168" s="62">
        <v>0.2</v>
      </c>
      <c r="AH168" s="57">
        <f>AF168*0.8</f>
        <v>21.552000000000003</v>
      </c>
      <c r="AI168" s="58">
        <v>6</v>
      </c>
      <c r="AK168" s="57">
        <f t="shared" si="32"/>
        <v>107.76000000000002</v>
      </c>
      <c r="AP168" s="57">
        <v>0</v>
      </c>
      <c r="AQ168" s="59" t="s">
        <v>697</v>
      </c>
      <c r="AR168" s="60">
        <v>12.093</v>
      </c>
      <c r="AS168" s="60">
        <v>1209.3</v>
      </c>
    </row>
    <row r="169" spans="2:45" s="57" customFormat="1" ht="22.5">
      <c r="B169" s="46" t="s">
        <v>698</v>
      </c>
      <c r="C169" s="64" t="s">
        <v>699</v>
      </c>
      <c r="D169" s="64" t="s">
        <v>563</v>
      </c>
      <c r="E169" s="64" t="s">
        <v>609</v>
      </c>
      <c r="F169" s="64" t="s">
        <v>700</v>
      </c>
      <c r="G169" s="77">
        <v>12</v>
      </c>
      <c r="H169" s="65">
        <f>ROUND(O169*0.55,2)</f>
        <v>731.29</v>
      </c>
      <c r="I169" s="49">
        <f t="shared" si="30"/>
        <v>8775.48</v>
      </c>
      <c r="J169" s="50">
        <v>0.23</v>
      </c>
      <c r="K169" s="51">
        <f t="shared" si="25"/>
        <v>2018.3603999999996</v>
      </c>
      <c r="L169" s="51">
        <f t="shared" si="27"/>
        <v>10793.840399999999</v>
      </c>
      <c r="M169" s="52"/>
      <c r="N169" s="53" t="s">
        <v>79</v>
      </c>
      <c r="O169" s="52">
        <f>393.96*4.5*0.75</f>
        <v>1329.615</v>
      </c>
      <c r="P169" s="54" t="s">
        <v>24</v>
      </c>
      <c r="Q169" s="54"/>
      <c r="R169" s="55"/>
      <c r="S169" s="54">
        <f>393.96*4.5</f>
        <v>1772.82</v>
      </c>
      <c r="T169" s="56">
        <f t="shared" si="26"/>
        <v>21273.84</v>
      </c>
      <c r="U169" s="52">
        <v>6</v>
      </c>
      <c r="V169" s="52">
        <v>725.93</v>
      </c>
      <c r="W169" s="52">
        <f>ROUND(AH169*0.7,2)</f>
        <v>725.93</v>
      </c>
      <c r="X169" s="52">
        <f t="shared" si="28"/>
        <v>8711.16</v>
      </c>
      <c r="Y169" s="52" t="s">
        <v>701</v>
      </c>
      <c r="Z169" s="52">
        <v>1480</v>
      </c>
      <c r="AA169" s="52">
        <f t="shared" si="29"/>
        <v>17760</v>
      </c>
      <c r="AB169" s="52" t="s">
        <v>539</v>
      </c>
      <c r="AC169" s="52"/>
      <c r="AE169" s="57" t="s">
        <v>83</v>
      </c>
      <c r="AF169" s="57">
        <f>336.7*4.4</f>
        <v>1481.48</v>
      </c>
      <c r="AH169" s="57">
        <f>AF169*0.7</f>
        <v>1037.0360000000001</v>
      </c>
      <c r="AI169" s="58"/>
      <c r="AK169" s="57">
        <f t="shared" si="32"/>
        <v>12444.432000000001</v>
      </c>
      <c r="AP169" s="57">
        <v>71</v>
      </c>
      <c r="AQ169" s="59">
        <v>0</v>
      </c>
      <c r="AR169" s="59">
        <v>0</v>
      </c>
      <c r="AS169" s="60">
        <v>0</v>
      </c>
    </row>
    <row r="170" spans="2:45" s="57" customFormat="1" ht="45">
      <c r="B170" s="46" t="s">
        <v>702</v>
      </c>
      <c r="C170" s="64" t="s">
        <v>699</v>
      </c>
      <c r="D170" s="64" t="s">
        <v>291</v>
      </c>
      <c r="E170" s="64" t="s">
        <v>612</v>
      </c>
      <c r="F170" s="64" t="s">
        <v>703</v>
      </c>
      <c r="G170" s="77">
        <v>15</v>
      </c>
      <c r="H170" s="65">
        <f>ROUND(O170*1.1,2)</f>
        <v>563.37</v>
      </c>
      <c r="I170" s="49">
        <f t="shared" si="30"/>
        <v>8450.5499999999993</v>
      </c>
      <c r="J170" s="50">
        <v>0.23</v>
      </c>
      <c r="K170" s="51">
        <f t="shared" si="25"/>
        <v>1943.6265000000003</v>
      </c>
      <c r="L170" s="51">
        <f t="shared" si="27"/>
        <v>10394.1765</v>
      </c>
      <c r="M170" s="52" t="s">
        <v>704</v>
      </c>
      <c r="N170" s="53" t="s">
        <v>79</v>
      </c>
      <c r="O170" s="52">
        <f>151.75*4.5*0.75</f>
        <v>512.15625</v>
      </c>
      <c r="P170" s="54" t="s">
        <v>24</v>
      </c>
      <c r="Q170" s="54"/>
      <c r="R170" s="55"/>
      <c r="S170" s="54">
        <f>151.76*4.5</f>
        <v>682.92</v>
      </c>
      <c r="T170" s="56">
        <f t="shared" si="26"/>
        <v>10243.799999999999</v>
      </c>
      <c r="U170" s="52">
        <v>15</v>
      </c>
      <c r="V170" s="52">
        <v>200.83</v>
      </c>
      <c r="W170" s="52">
        <f>ROUND(AH170*1.15,2)</f>
        <v>200.83</v>
      </c>
      <c r="X170" s="52">
        <f t="shared" si="28"/>
        <v>3012.4500000000003</v>
      </c>
      <c r="Y170" s="52" t="s">
        <v>359</v>
      </c>
      <c r="Z170" s="52">
        <v>250</v>
      </c>
      <c r="AA170" s="52">
        <f t="shared" si="29"/>
        <v>3750</v>
      </c>
      <c r="AB170" s="52" t="s">
        <v>539</v>
      </c>
      <c r="AC170" s="52"/>
      <c r="AE170" s="57" t="s">
        <v>83</v>
      </c>
      <c r="AF170" s="57">
        <f>56.7*4.4</f>
        <v>249.48000000000005</v>
      </c>
      <c r="AH170" s="57">
        <f>AF170*0.7</f>
        <v>174.63600000000002</v>
      </c>
      <c r="AI170" s="58"/>
      <c r="AK170" s="57">
        <f t="shared" si="32"/>
        <v>2619.5400000000004</v>
      </c>
      <c r="AP170" s="57">
        <v>0</v>
      </c>
      <c r="AQ170" s="59" t="s">
        <v>705</v>
      </c>
      <c r="AR170" s="60">
        <v>40.5565</v>
      </c>
      <c r="AS170" s="60">
        <v>405.565</v>
      </c>
    </row>
    <row r="171" spans="2:45" s="57" customFormat="1" ht="22.5">
      <c r="B171" s="46" t="s">
        <v>706</v>
      </c>
      <c r="C171" s="46" t="s">
        <v>707</v>
      </c>
      <c r="D171" s="46" t="s">
        <v>708</v>
      </c>
      <c r="E171" s="46" t="s">
        <v>107</v>
      </c>
      <c r="F171" s="46" t="s">
        <v>709</v>
      </c>
      <c r="G171" s="61">
        <v>65</v>
      </c>
      <c r="H171" s="48">
        <f>ROUND(O171*1.3,2)</f>
        <v>31.01</v>
      </c>
      <c r="I171" s="49">
        <f t="shared" si="30"/>
        <v>2015.65</v>
      </c>
      <c r="J171" s="50">
        <v>0.23</v>
      </c>
      <c r="K171" s="51">
        <f t="shared" si="25"/>
        <v>463.59949999999981</v>
      </c>
      <c r="L171" s="51">
        <f t="shared" si="27"/>
        <v>2479.2494999999999</v>
      </c>
      <c r="M171" s="52"/>
      <c r="N171" s="53" t="s">
        <v>50</v>
      </c>
      <c r="O171" s="52">
        <v>23.85</v>
      </c>
      <c r="P171" s="54" t="s">
        <v>64</v>
      </c>
      <c r="Q171" s="54">
        <v>6.04</v>
      </c>
      <c r="R171" s="55">
        <v>80</v>
      </c>
      <c r="S171" s="54">
        <v>6.5</v>
      </c>
      <c r="T171" s="56">
        <f t="shared" si="26"/>
        <v>422.5</v>
      </c>
      <c r="U171" s="52">
        <v>65</v>
      </c>
      <c r="V171" s="52">
        <v>30.19</v>
      </c>
      <c r="W171" s="52">
        <f t="shared" si="31"/>
        <v>30.19</v>
      </c>
      <c r="X171" s="52">
        <f t="shared" si="28"/>
        <v>1962.3500000000001</v>
      </c>
      <c r="Y171" s="52"/>
      <c r="Z171" s="52">
        <v>16.39</v>
      </c>
      <c r="AA171" s="52">
        <f t="shared" si="29"/>
        <v>1065.3500000000001</v>
      </c>
      <c r="AB171" s="52"/>
      <c r="AC171" s="52"/>
      <c r="AD171" s="57" t="s">
        <v>710</v>
      </c>
      <c r="AE171" s="57" t="s">
        <v>711</v>
      </c>
      <c r="AH171" s="57">
        <v>23.22</v>
      </c>
      <c r="AI171" s="58">
        <v>50</v>
      </c>
      <c r="AK171" s="57">
        <f t="shared" si="32"/>
        <v>1509.3</v>
      </c>
      <c r="AP171" s="57">
        <v>11</v>
      </c>
      <c r="AQ171" s="59" t="s">
        <v>712</v>
      </c>
      <c r="AR171" s="60">
        <v>21.401999999999997</v>
      </c>
      <c r="AS171" s="60">
        <v>214.01999999999998</v>
      </c>
    </row>
    <row r="172" spans="2:45" s="57" customFormat="1" ht="22.5">
      <c r="B172" s="46" t="s">
        <v>713</v>
      </c>
      <c r="C172" s="64" t="s">
        <v>714</v>
      </c>
      <c r="D172" s="64" t="s">
        <v>47</v>
      </c>
      <c r="E172" s="64" t="s">
        <v>107</v>
      </c>
      <c r="F172" s="64" t="s">
        <v>715</v>
      </c>
      <c r="G172" s="47">
        <v>2</v>
      </c>
      <c r="H172" s="65">
        <f t="shared" si="24"/>
        <v>39.11</v>
      </c>
      <c r="I172" s="49">
        <f t="shared" si="30"/>
        <v>78.22</v>
      </c>
      <c r="J172" s="50">
        <v>0.23</v>
      </c>
      <c r="K172" s="51">
        <f t="shared" si="25"/>
        <v>17.990600000000001</v>
      </c>
      <c r="L172" s="51">
        <f t="shared" si="27"/>
        <v>96.210599999999999</v>
      </c>
      <c r="M172" s="52"/>
      <c r="N172" s="53" t="s">
        <v>50</v>
      </c>
      <c r="O172" s="52">
        <v>26.07</v>
      </c>
      <c r="P172" s="54" t="s">
        <v>24</v>
      </c>
      <c r="Q172" s="54"/>
      <c r="R172" s="55"/>
      <c r="S172" s="54">
        <v>28</v>
      </c>
      <c r="T172" s="56">
        <f t="shared" si="26"/>
        <v>56</v>
      </c>
      <c r="U172" s="52">
        <v>2</v>
      </c>
      <c r="V172" s="52">
        <v>40.46</v>
      </c>
      <c r="W172" s="52">
        <f t="shared" si="31"/>
        <v>40.46</v>
      </c>
      <c r="X172" s="52">
        <f t="shared" si="28"/>
        <v>80.92</v>
      </c>
      <c r="Y172" s="52"/>
      <c r="Z172" s="52">
        <v>20.53</v>
      </c>
      <c r="AA172" s="52">
        <f t="shared" si="29"/>
        <v>41.06</v>
      </c>
      <c r="AB172" s="52"/>
      <c r="AC172" s="52"/>
      <c r="AE172" s="57" t="s">
        <v>711</v>
      </c>
      <c r="AH172" s="57">
        <v>31.12</v>
      </c>
      <c r="AI172" s="58">
        <v>0</v>
      </c>
      <c r="AK172" s="57">
        <f t="shared" si="32"/>
        <v>62.24</v>
      </c>
      <c r="AP172" s="57">
        <v>1</v>
      </c>
      <c r="AQ172" s="59" t="s">
        <v>716</v>
      </c>
      <c r="AR172" s="60">
        <v>329</v>
      </c>
      <c r="AS172" s="60">
        <v>3290</v>
      </c>
    </row>
    <row r="173" spans="2:45" s="57" customFormat="1">
      <c r="B173" s="46" t="s">
        <v>717</v>
      </c>
      <c r="C173" s="46" t="s">
        <v>718</v>
      </c>
      <c r="D173" s="46" t="s">
        <v>47</v>
      </c>
      <c r="E173" s="46" t="s">
        <v>56</v>
      </c>
      <c r="F173" s="46" t="s">
        <v>719</v>
      </c>
      <c r="G173" s="61">
        <v>110</v>
      </c>
      <c r="H173" s="48">
        <f t="shared" si="24"/>
        <v>12.03</v>
      </c>
      <c r="I173" s="49">
        <f t="shared" si="30"/>
        <v>1323.3</v>
      </c>
      <c r="J173" s="50">
        <v>0.23</v>
      </c>
      <c r="K173" s="51">
        <f t="shared" si="25"/>
        <v>304.35899999999992</v>
      </c>
      <c r="L173" s="51">
        <f t="shared" si="27"/>
        <v>1627.6589999999999</v>
      </c>
      <c r="M173" s="52" t="s">
        <v>720</v>
      </c>
      <c r="N173" s="53" t="s">
        <v>50</v>
      </c>
      <c r="O173" s="52">
        <v>8.02</v>
      </c>
      <c r="P173" s="54" t="s">
        <v>51</v>
      </c>
      <c r="Q173" s="54">
        <v>5.89</v>
      </c>
      <c r="R173" s="55">
        <v>70</v>
      </c>
      <c r="S173" s="54">
        <v>5.5</v>
      </c>
      <c r="T173" s="56">
        <f t="shared" si="26"/>
        <v>605</v>
      </c>
      <c r="U173" s="52">
        <v>110</v>
      </c>
      <c r="V173" s="52">
        <v>11.7</v>
      </c>
      <c r="W173" s="52">
        <f t="shared" si="31"/>
        <v>11.7</v>
      </c>
      <c r="X173" s="52">
        <f t="shared" si="28"/>
        <v>1287</v>
      </c>
      <c r="Y173" s="52"/>
      <c r="Z173" s="52">
        <v>8.93</v>
      </c>
      <c r="AA173" s="52">
        <f t="shared" si="29"/>
        <v>982.3</v>
      </c>
      <c r="AB173" s="52"/>
      <c r="AC173" s="52"/>
      <c r="AE173" s="57" t="s">
        <v>711</v>
      </c>
      <c r="AH173" s="57">
        <v>9</v>
      </c>
      <c r="AI173" s="58">
        <v>52</v>
      </c>
      <c r="AK173" s="57">
        <f t="shared" si="32"/>
        <v>990</v>
      </c>
      <c r="AP173" s="57">
        <v>0</v>
      </c>
      <c r="AQ173" s="59" t="s">
        <v>716</v>
      </c>
      <c r="AR173" s="60">
        <v>329</v>
      </c>
      <c r="AS173" s="60">
        <v>1645</v>
      </c>
    </row>
    <row r="174" spans="2:45" s="57" customFormat="1">
      <c r="B174" s="46" t="s">
        <v>721</v>
      </c>
      <c r="C174" s="46" t="s">
        <v>722</v>
      </c>
      <c r="D174" s="46" t="s">
        <v>599</v>
      </c>
      <c r="E174" s="46" t="s">
        <v>56</v>
      </c>
      <c r="F174" s="46" t="s">
        <v>719</v>
      </c>
      <c r="G174" s="61">
        <v>3</v>
      </c>
      <c r="H174" s="48">
        <f t="shared" si="24"/>
        <v>48.98</v>
      </c>
      <c r="I174" s="49">
        <f t="shared" si="30"/>
        <v>146.94</v>
      </c>
      <c r="J174" s="50">
        <v>0.23</v>
      </c>
      <c r="K174" s="51">
        <f t="shared" si="25"/>
        <v>33.796199999999999</v>
      </c>
      <c r="L174" s="51">
        <f t="shared" si="27"/>
        <v>180.7362</v>
      </c>
      <c r="M174" s="52"/>
      <c r="N174" s="53" t="s">
        <v>50</v>
      </c>
      <c r="O174" s="52">
        <v>32.65</v>
      </c>
      <c r="P174" s="54" t="s">
        <v>64</v>
      </c>
      <c r="Q174" s="54">
        <f>4.2*5</f>
        <v>21</v>
      </c>
      <c r="R174" s="55">
        <v>6</v>
      </c>
      <c r="S174" s="54">
        <v>23</v>
      </c>
      <c r="T174" s="56">
        <f t="shared" si="26"/>
        <v>69</v>
      </c>
      <c r="U174" s="52">
        <v>3</v>
      </c>
      <c r="V174" s="52">
        <v>35.4</v>
      </c>
      <c r="W174" s="52">
        <f t="shared" si="31"/>
        <v>35.4</v>
      </c>
      <c r="X174" s="52">
        <f t="shared" si="28"/>
        <v>106.19999999999999</v>
      </c>
      <c r="Y174" s="52"/>
      <c r="Z174" s="52">
        <v>29.33</v>
      </c>
      <c r="AA174" s="52">
        <f t="shared" si="29"/>
        <v>87.99</v>
      </c>
      <c r="AB174" s="52"/>
      <c r="AC174" s="52"/>
      <c r="AE174" s="57" t="s">
        <v>711</v>
      </c>
      <c r="AH174" s="57">
        <v>27.23</v>
      </c>
      <c r="AI174" s="58">
        <v>1</v>
      </c>
      <c r="AK174" s="57">
        <f t="shared" si="32"/>
        <v>81.69</v>
      </c>
      <c r="AP174" s="57">
        <v>0</v>
      </c>
      <c r="AQ174" s="59" t="s">
        <v>723</v>
      </c>
      <c r="AR174" s="60">
        <v>17.899999999999999</v>
      </c>
      <c r="AS174" s="60">
        <v>3579.9999999999995</v>
      </c>
    </row>
    <row r="175" spans="2:45" s="57" customFormat="1" ht="22.5">
      <c r="B175" s="46" t="s">
        <v>724</v>
      </c>
      <c r="C175" s="46" t="s">
        <v>718</v>
      </c>
      <c r="D175" s="46" t="s">
        <v>47</v>
      </c>
      <c r="E175" s="46" t="s">
        <v>56</v>
      </c>
      <c r="F175" s="46" t="s">
        <v>725</v>
      </c>
      <c r="G175" s="61">
        <v>5</v>
      </c>
      <c r="H175" s="48">
        <f>ROUND(O175*1.2,2)</f>
        <v>17.350000000000001</v>
      </c>
      <c r="I175" s="49">
        <f t="shared" si="30"/>
        <v>86.75</v>
      </c>
      <c r="J175" s="50">
        <v>0.23</v>
      </c>
      <c r="K175" s="51">
        <f t="shared" si="25"/>
        <v>19.952500000000001</v>
      </c>
      <c r="L175" s="51">
        <f t="shared" si="27"/>
        <v>106.7025</v>
      </c>
      <c r="M175" s="52"/>
      <c r="N175" s="53" t="s">
        <v>58</v>
      </c>
      <c r="O175" s="52">
        <v>14.46</v>
      </c>
      <c r="P175" s="54" t="s">
        <v>59</v>
      </c>
      <c r="Q175" s="54"/>
      <c r="R175" s="55">
        <v>20</v>
      </c>
      <c r="S175" s="54">
        <v>15</v>
      </c>
      <c r="T175" s="56">
        <f t="shared" si="26"/>
        <v>75</v>
      </c>
      <c r="U175" s="52">
        <v>5</v>
      </c>
      <c r="V175" s="52">
        <v>17.57</v>
      </c>
      <c r="W175" s="52">
        <f t="shared" si="31"/>
        <v>17.57</v>
      </c>
      <c r="X175" s="52">
        <f t="shared" si="28"/>
        <v>87.85</v>
      </c>
      <c r="Y175" s="52"/>
      <c r="Z175" s="52">
        <v>13.72</v>
      </c>
      <c r="AA175" s="52">
        <f t="shared" si="29"/>
        <v>68.600000000000009</v>
      </c>
      <c r="AB175" s="52"/>
      <c r="AC175" s="52"/>
      <c r="AE175" s="57" t="s">
        <v>60</v>
      </c>
      <c r="AF175" s="57">
        <v>16.89</v>
      </c>
      <c r="AG175" s="62">
        <v>0.2</v>
      </c>
      <c r="AH175" s="57">
        <f>AF175*0.8</f>
        <v>13.512</v>
      </c>
      <c r="AI175" s="58">
        <v>2</v>
      </c>
      <c r="AK175" s="57">
        <f t="shared" si="32"/>
        <v>67.56</v>
      </c>
      <c r="AP175" s="57">
        <v>99</v>
      </c>
      <c r="AQ175" s="59" t="s">
        <v>726</v>
      </c>
      <c r="AR175" s="60">
        <v>70</v>
      </c>
      <c r="AS175" s="60">
        <v>1400</v>
      </c>
    </row>
    <row r="176" spans="2:45" s="57" customFormat="1" ht="22.5">
      <c r="B176" s="46" t="s">
        <v>727</v>
      </c>
      <c r="C176" s="46" t="s">
        <v>728</v>
      </c>
      <c r="D176" s="66" t="s">
        <v>191</v>
      </c>
      <c r="E176" s="46" t="s">
        <v>88</v>
      </c>
      <c r="F176" s="46" t="s">
        <v>729</v>
      </c>
      <c r="G176" s="67">
        <v>5</v>
      </c>
      <c r="H176" s="48">
        <f t="shared" si="24"/>
        <v>8.84</v>
      </c>
      <c r="I176" s="49">
        <f t="shared" si="30"/>
        <v>44.2</v>
      </c>
      <c r="J176" s="50">
        <v>0.23</v>
      </c>
      <c r="K176" s="51">
        <f t="shared" si="25"/>
        <v>10.165999999999997</v>
      </c>
      <c r="L176" s="51">
        <f t="shared" si="27"/>
        <v>54.366</v>
      </c>
      <c r="M176" s="52"/>
      <c r="N176" s="53" t="s">
        <v>114</v>
      </c>
      <c r="O176" s="52">
        <v>5.89</v>
      </c>
      <c r="P176" s="54" t="s">
        <v>24</v>
      </c>
      <c r="Q176" s="54"/>
      <c r="R176" s="55">
        <v>61</v>
      </c>
      <c r="S176" s="54">
        <v>6</v>
      </c>
      <c r="T176" s="56">
        <f t="shared" si="26"/>
        <v>30</v>
      </c>
      <c r="U176" s="52">
        <v>5</v>
      </c>
      <c r="V176" s="52">
        <v>7.66</v>
      </c>
      <c r="W176" s="52">
        <f t="shared" si="31"/>
        <v>7.66</v>
      </c>
      <c r="X176" s="52">
        <f t="shared" si="28"/>
        <v>38.299999999999997</v>
      </c>
      <c r="Y176" s="52"/>
      <c r="Z176" s="52">
        <v>6.12</v>
      </c>
      <c r="AA176" s="52">
        <f t="shared" si="29"/>
        <v>30.6</v>
      </c>
      <c r="AB176" s="52"/>
      <c r="AC176" s="52"/>
      <c r="AE176" s="57" t="s">
        <v>115</v>
      </c>
      <c r="AF176" s="57">
        <v>7.75</v>
      </c>
      <c r="AH176" s="57">
        <v>5.89</v>
      </c>
      <c r="AI176" s="58">
        <v>1</v>
      </c>
      <c r="AJ176" s="57">
        <v>5.3</v>
      </c>
      <c r="AK176" s="57">
        <f t="shared" si="32"/>
        <v>29.45</v>
      </c>
      <c r="AP176" s="57">
        <v>15</v>
      </c>
      <c r="AQ176" s="59" t="s">
        <v>730</v>
      </c>
      <c r="AR176" s="60">
        <v>126</v>
      </c>
      <c r="AS176" s="60">
        <v>630</v>
      </c>
    </row>
    <row r="177" spans="2:45" s="57" customFormat="1" ht="22.5">
      <c r="B177" s="46" t="s">
        <v>731</v>
      </c>
      <c r="C177" s="64" t="s">
        <v>732</v>
      </c>
      <c r="D177" s="72" t="s">
        <v>563</v>
      </c>
      <c r="E177" s="64" t="s">
        <v>609</v>
      </c>
      <c r="F177" s="64" t="s">
        <v>733</v>
      </c>
      <c r="G177" s="73">
        <v>12</v>
      </c>
      <c r="H177" s="65">
        <f>ROUND(O177*0.6,2)</f>
        <v>759.78</v>
      </c>
      <c r="I177" s="49">
        <f t="shared" si="30"/>
        <v>9117.36</v>
      </c>
      <c r="J177" s="50">
        <v>0.23</v>
      </c>
      <c r="K177" s="51">
        <f t="shared" si="25"/>
        <v>2096.9928</v>
      </c>
      <c r="L177" s="51">
        <f t="shared" si="27"/>
        <v>11214.352800000001</v>
      </c>
      <c r="M177" s="52"/>
      <c r="N177" s="53" t="s">
        <v>79</v>
      </c>
      <c r="O177" s="52">
        <f>375.2*4.5*0.75</f>
        <v>1266.3</v>
      </c>
      <c r="P177" s="54" t="s">
        <v>24</v>
      </c>
      <c r="Q177" s="54"/>
      <c r="R177" s="55"/>
      <c r="S177" s="54">
        <f>375.2*4.5</f>
        <v>1688.3999999999999</v>
      </c>
      <c r="T177" s="56">
        <f t="shared" si="26"/>
        <v>20260.8</v>
      </c>
      <c r="U177" s="52">
        <v>5</v>
      </c>
      <c r="V177" s="52">
        <v>744.08</v>
      </c>
      <c r="W177" s="52">
        <f>ROUND(AH177*0.8,2)</f>
        <v>744.08</v>
      </c>
      <c r="X177" s="52">
        <f t="shared" si="28"/>
        <v>8928.9600000000009</v>
      </c>
      <c r="Y177" s="52" t="s">
        <v>238</v>
      </c>
      <c r="Z177" s="52">
        <v>1330</v>
      </c>
      <c r="AA177" s="52">
        <f t="shared" si="29"/>
        <v>15960</v>
      </c>
      <c r="AB177" s="52" t="s">
        <v>539</v>
      </c>
      <c r="AC177" s="52"/>
      <c r="AE177" s="57" t="s">
        <v>83</v>
      </c>
      <c r="AF177" s="57">
        <f>301.98*4.4</f>
        <v>1328.7120000000002</v>
      </c>
      <c r="AH177" s="57">
        <f>AF177*0.7</f>
        <v>930.09840000000008</v>
      </c>
      <c r="AI177" s="58"/>
      <c r="AK177" s="57">
        <f t="shared" si="32"/>
        <v>11161.180800000002</v>
      </c>
      <c r="AP177" s="57">
        <v>1</v>
      </c>
      <c r="AQ177" s="59">
        <v>0</v>
      </c>
      <c r="AR177" s="59">
        <v>0</v>
      </c>
      <c r="AS177" s="60">
        <v>0</v>
      </c>
    </row>
    <row r="178" spans="2:45" s="57" customFormat="1" ht="45">
      <c r="B178" s="46" t="s">
        <v>734</v>
      </c>
      <c r="C178" s="64" t="s">
        <v>732</v>
      </c>
      <c r="D178" s="72" t="s">
        <v>340</v>
      </c>
      <c r="E178" s="64" t="s">
        <v>612</v>
      </c>
      <c r="F178" s="84" t="s">
        <v>735</v>
      </c>
      <c r="G178" s="73">
        <v>16</v>
      </c>
      <c r="H178" s="65">
        <f>ROUND(O178*1.1,2)</f>
        <v>313.93</v>
      </c>
      <c r="I178" s="49">
        <f t="shared" si="30"/>
        <v>5022.88</v>
      </c>
      <c r="J178" s="50">
        <v>0.23</v>
      </c>
      <c r="K178" s="51">
        <f t="shared" si="25"/>
        <v>1155.2624000000005</v>
      </c>
      <c r="L178" s="51">
        <f t="shared" si="27"/>
        <v>6178.1424000000006</v>
      </c>
      <c r="M178" s="52"/>
      <c r="N178" s="53" t="s">
        <v>79</v>
      </c>
      <c r="O178" s="52">
        <f>84.56*4.5*0.75</f>
        <v>285.39</v>
      </c>
      <c r="P178" s="54" t="s">
        <v>24</v>
      </c>
      <c r="Q178" s="54"/>
      <c r="R178" s="55">
        <v>1</v>
      </c>
      <c r="S178" s="54">
        <f>84.56*4.5</f>
        <v>380.52</v>
      </c>
      <c r="T178" s="56">
        <f t="shared" si="26"/>
        <v>6088.32</v>
      </c>
      <c r="U178" s="52">
        <v>8</v>
      </c>
      <c r="V178" s="52">
        <v>290.58999999999997</v>
      </c>
      <c r="W178" s="52">
        <f>ROUND(AH178*1.15,2)</f>
        <v>290.58999999999997</v>
      </c>
      <c r="X178" s="52">
        <f t="shared" si="28"/>
        <v>4649.4399999999996</v>
      </c>
      <c r="Y178" s="52" t="s">
        <v>359</v>
      </c>
      <c r="Z178" s="52">
        <v>360</v>
      </c>
      <c r="AA178" s="52">
        <f t="shared" si="29"/>
        <v>5760</v>
      </c>
      <c r="AB178" s="52" t="s">
        <v>539</v>
      </c>
      <c r="AC178" s="52"/>
      <c r="AE178" s="57" t="s">
        <v>83</v>
      </c>
      <c r="AF178" s="57">
        <f>82.04*4.4</f>
        <v>360.97600000000006</v>
      </c>
      <c r="AH178" s="57">
        <f>AF178*0.7</f>
        <v>252.68320000000003</v>
      </c>
      <c r="AI178" s="58">
        <v>1</v>
      </c>
      <c r="AK178" s="57">
        <f t="shared" si="32"/>
        <v>4042.9312000000004</v>
      </c>
      <c r="AP178" s="57">
        <v>6</v>
      </c>
      <c r="AQ178" s="59">
        <v>0</v>
      </c>
      <c r="AR178" s="59">
        <v>0</v>
      </c>
      <c r="AS178" s="60">
        <v>0</v>
      </c>
    </row>
    <row r="179" spans="2:45" s="57" customFormat="1" ht="22.5">
      <c r="B179" s="46" t="s">
        <v>736</v>
      </c>
      <c r="C179" s="46" t="s">
        <v>737</v>
      </c>
      <c r="D179" s="46" t="s">
        <v>708</v>
      </c>
      <c r="E179" s="46" t="s">
        <v>107</v>
      </c>
      <c r="F179" s="46" t="s">
        <v>738</v>
      </c>
      <c r="G179" s="61">
        <v>80</v>
      </c>
      <c r="H179" s="48">
        <f>ROUND(O179*1.3,2)</f>
        <v>29.71</v>
      </c>
      <c r="I179" s="49">
        <f t="shared" si="30"/>
        <v>2376.8000000000002</v>
      </c>
      <c r="J179" s="50">
        <v>0.23</v>
      </c>
      <c r="K179" s="51">
        <f t="shared" si="25"/>
        <v>546.66400000000021</v>
      </c>
      <c r="L179" s="51">
        <f t="shared" si="27"/>
        <v>2923.4640000000004</v>
      </c>
      <c r="M179" s="52"/>
      <c r="N179" s="53" t="s">
        <v>50</v>
      </c>
      <c r="O179" s="52">
        <v>22.85</v>
      </c>
      <c r="P179" s="54" t="s">
        <v>64</v>
      </c>
      <c r="Q179" s="54">
        <v>6.04</v>
      </c>
      <c r="R179" s="55">
        <v>60</v>
      </c>
      <c r="S179" s="54">
        <v>6.5</v>
      </c>
      <c r="T179" s="56">
        <f t="shared" si="26"/>
        <v>520</v>
      </c>
      <c r="U179" s="52">
        <v>80</v>
      </c>
      <c r="V179" s="52">
        <v>27.31</v>
      </c>
      <c r="W179" s="52">
        <f>ROUND(AH179*1.2,2)</f>
        <v>27.31</v>
      </c>
      <c r="X179" s="52">
        <f t="shared" si="28"/>
        <v>2184.7999999999997</v>
      </c>
      <c r="Y179" s="52" t="s">
        <v>739</v>
      </c>
      <c r="Z179" s="52">
        <v>16.07</v>
      </c>
      <c r="AA179" s="52">
        <f t="shared" si="29"/>
        <v>1285.5999999999999</v>
      </c>
      <c r="AB179" s="52"/>
      <c r="AC179" s="52"/>
      <c r="AD179" s="57" t="s">
        <v>740</v>
      </c>
      <c r="AE179" s="57" t="s">
        <v>52</v>
      </c>
      <c r="AH179" s="57">
        <v>22.76</v>
      </c>
      <c r="AI179" s="58">
        <v>55</v>
      </c>
      <c r="AK179" s="57">
        <f t="shared" si="32"/>
        <v>1820.8000000000002</v>
      </c>
      <c r="AP179" s="57">
        <v>0</v>
      </c>
      <c r="AQ179" s="59">
        <v>0</v>
      </c>
      <c r="AR179" s="59">
        <v>0</v>
      </c>
      <c r="AS179" s="60">
        <v>0</v>
      </c>
    </row>
    <row r="180" spans="2:45" s="57" customFormat="1" ht="22.5">
      <c r="B180" s="46" t="s">
        <v>741</v>
      </c>
      <c r="C180" s="46" t="s">
        <v>742</v>
      </c>
      <c r="D180" s="46" t="s">
        <v>142</v>
      </c>
      <c r="E180" s="46" t="s">
        <v>56</v>
      </c>
      <c r="F180" s="46" t="s">
        <v>743</v>
      </c>
      <c r="G180" s="61">
        <v>2</v>
      </c>
      <c r="H180" s="48">
        <f t="shared" si="24"/>
        <v>39.33</v>
      </c>
      <c r="I180" s="49">
        <f t="shared" si="30"/>
        <v>78.66</v>
      </c>
      <c r="J180" s="50">
        <v>0.23</v>
      </c>
      <c r="K180" s="51">
        <f t="shared" si="25"/>
        <v>18.091800000000006</v>
      </c>
      <c r="L180" s="51">
        <f t="shared" si="27"/>
        <v>96.751800000000003</v>
      </c>
      <c r="M180" s="52"/>
      <c r="N180" s="53" t="s">
        <v>114</v>
      </c>
      <c r="O180" s="52">
        <v>26.22</v>
      </c>
      <c r="P180" s="54" t="s">
        <v>24</v>
      </c>
      <c r="Q180" s="54"/>
      <c r="R180" s="55">
        <v>2</v>
      </c>
      <c r="S180" s="54">
        <v>29</v>
      </c>
      <c r="T180" s="56">
        <f t="shared" si="26"/>
        <v>58</v>
      </c>
      <c r="U180" s="52">
        <v>2</v>
      </c>
      <c r="V180" s="52">
        <v>34.090000000000003</v>
      </c>
      <c r="W180" s="52">
        <f t="shared" si="31"/>
        <v>34.090000000000003</v>
      </c>
      <c r="X180" s="52">
        <f t="shared" si="28"/>
        <v>68.180000000000007</v>
      </c>
      <c r="Y180" s="52"/>
      <c r="Z180" s="52">
        <v>27</v>
      </c>
      <c r="AA180" s="52">
        <f t="shared" si="29"/>
        <v>54</v>
      </c>
      <c r="AB180" s="52"/>
      <c r="AC180" s="52"/>
      <c r="AE180" s="57" t="s">
        <v>115</v>
      </c>
      <c r="AF180" s="57">
        <v>34.5</v>
      </c>
      <c r="AH180" s="57">
        <v>26.22</v>
      </c>
      <c r="AI180" s="58">
        <v>0</v>
      </c>
      <c r="AK180" s="57">
        <f t="shared" si="32"/>
        <v>52.44</v>
      </c>
      <c r="AP180" s="57">
        <v>0</v>
      </c>
      <c r="AQ180" s="59" t="s">
        <v>744</v>
      </c>
      <c r="AR180" s="60">
        <v>23.22</v>
      </c>
      <c r="AS180" s="60">
        <v>1161</v>
      </c>
    </row>
    <row r="181" spans="2:45" s="57" customFormat="1" ht="22.5">
      <c r="B181" s="46" t="s">
        <v>745</v>
      </c>
      <c r="C181" s="46" t="s">
        <v>746</v>
      </c>
      <c r="D181" s="46" t="s">
        <v>112</v>
      </c>
      <c r="E181" s="46" t="s">
        <v>56</v>
      </c>
      <c r="F181" s="46" t="s">
        <v>747</v>
      </c>
      <c r="G181" s="61">
        <v>5</v>
      </c>
      <c r="H181" s="48">
        <f t="shared" si="24"/>
        <v>27.95</v>
      </c>
      <c r="I181" s="49">
        <f t="shared" si="30"/>
        <v>139.75</v>
      </c>
      <c r="J181" s="50">
        <v>0.23</v>
      </c>
      <c r="K181" s="51">
        <f t="shared" si="25"/>
        <v>32.142499999999984</v>
      </c>
      <c r="L181" s="51">
        <f t="shared" si="27"/>
        <v>171.89249999999998</v>
      </c>
      <c r="M181" s="52"/>
      <c r="N181" s="53" t="s">
        <v>114</v>
      </c>
      <c r="O181" s="52">
        <v>18.63</v>
      </c>
      <c r="P181" s="54" t="s">
        <v>24</v>
      </c>
      <c r="Q181" s="54"/>
      <c r="R181" s="55"/>
      <c r="S181" s="54">
        <v>20</v>
      </c>
      <c r="T181" s="56">
        <f t="shared" si="26"/>
        <v>100</v>
      </c>
      <c r="U181" s="52">
        <v>5</v>
      </c>
      <c r="V181" s="52">
        <v>24.22</v>
      </c>
      <c r="W181" s="52">
        <f t="shared" si="31"/>
        <v>24.22</v>
      </c>
      <c r="X181" s="52">
        <f t="shared" si="28"/>
        <v>121.1</v>
      </c>
      <c r="Y181" s="52"/>
      <c r="Z181" s="52">
        <v>18</v>
      </c>
      <c r="AA181" s="52">
        <f t="shared" si="29"/>
        <v>90</v>
      </c>
      <c r="AB181" s="52"/>
      <c r="AC181" s="52"/>
      <c r="AE181" s="57" t="s">
        <v>115</v>
      </c>
      <c r="AF181" s="57">
        <v>24.51</v>
      </c>
      <c r="AH181" s="57">
        <v>18.63</v>
      </c>
      <c r="AI181" s="58">
        <v>2</v>
      </c>
      <c r="AJ181" s="57">
        <v>17.899999999999999</v>
      </c>
      <c r="AK181" s="57">
        <f t="shared" si="32"/>
        <v>93.149999999999991</v>
      </c>
      <c r="AP181" s="57">
        <v>50</v>
      </c>
      <c r="AQ181" s="59">
        <v>0</v>
      </c>
      <c r="AR181" s="59">
        <v>0</v>
      </c>
      <c r="AS181" s="60">
        <v>0</v>
      </c>
    </row>
    <row r="182" spans="2:45" s="57" customFormat="1" ht="22.5">
      <c r="B182" s="46" t="s">
        <v>748</v>
      </c>
      <c r="C182" s="46" t="s">
        <v>749</v>
      </c>
      <c r="D182" s="46" t="s">
        <v>708</v>
      </c>
      <c r="E182" s="46" t="s">
        <v>107</v>
      </c>
      <c r="F182" s="46" t="s">
        <v>750</v>
      </c>
      <c r="G182" s="61">
        <v>5</v>
      </c>
      <c r="H182" s="48">
        <f>ROUND(O182*1.2,2)</f>
        <v>37.9</v>
      </c>
      <c r="I182" s="49">
        <f t="shared" si="30"/>
        <v>189.5</v>
      </c>
      <c r="J182" s="50">
        <v>0.23</v>
      </c>
      <c r="K182" s="51">
        <f t="shared" si="25"/>
        <v>43.585000000000008</v>
      </c>
      <c r="L182" s="51">
        <f t="shared" si="27"/>
        <v>233.08500000000001</v>
      </c>
      <c r="M182" s="52"/>
      <c r="N182" s="53" t="s">
        <v>50</v>
      </c>
      <c r="O182" s="52">
        <v>31.58</v>
      </c>
      <c r="P182" s="54" t="s">
        <v>64</v>
      </c>
      <c r="Q182" s="54">
        <v>11.05</v>
      </c>
      <c r="R182" s="55"/>
      <c r="S182" s="54">
        <v>12</v>
      </c>
      <c r="T182" s="56">
        <f t="shared" si="26"/>
        <v>60</v>
      </c>
      <c r="U182" s="52">
        <v>5</v>
      </c>
      <c r="V182" s="52">
        <v>29.9</v>
      </c>
      <c r="W182" s="52">
        <f t="shared" si="31"/>
        <v>29.9</v>
      </c>
      <c r="X182" s="52">
        <f t="shared" si="28"/>
        <v>149.5</v>
      </c>
      <c r="Y182" s="52"/>
      <c r="Z182" s="52">
        <v>48</v>
      </c>
      <c r="AA182" s="52">
        <f t="shared" si="29"/>
        <v>240</v>
      </c>
      <c r="AB182" s="57" t="s">
        <v>128</v>
      </c>
      <c r="AC182" s="52"/>
      <c r="AE182" s="57" t="s">
        <v>52</v>
      </c>
      <c r="AH182" s="57">
        <v>23</v>
      </c>
      <c r="AI182" s="58">
        <v>0</v>
      </c>
      <c r="AK182" s="57">
        <f t="shared" si="32"/>
        <v>115</v>
      </c>
      <c r="AP182" s="57">
        <v>0</v>
      </c>
      <c r="AQ182" s="59" t="s">
        <v>751</v>
      </c>
      <c r="AR182" s="60">
        <v>31.117000000000001</v>
      </c>
      <c r="AS182" s="60">
        <v>311.17</v>
      </c>
    </row>
    <row r="183" spans="2:45" s="57" customFormat="1">
      <c r="B183" s="46" t="s">
        <v>752</v>
      </c>
      <c r="C183" s="46" t="s">
        <v>753</v>
      </c>
      <c r="D183" s="46" t="s">
        <v>112</v>
      </c>
      <c r="E183" s="46" t="s">
        <v>56</v>
      </c>
      <c r="F183" s="46" t="s">
        <v>754</v>
      </c>
      <c r="G183" s="61">
        <v>8</v>
      </c>
      <c r="H183" s="48">
        <f t="shared" si="24"/>
        <v>149.91</v>
      </c>
      <c r="I183" s="49">
        <f t="shared" si="30"/>
        <v>1199.28</v>
      </c>
      <c r="J183" s="50">
        <v>0.23</v>
      </c>
      <c r="K183" s="51">
        <f t="shared" si="25"/>
        <v>275.83439999999996</v>
      </c>
      <c r="L183" s="51">
        <f t="shared" si="27"/>
        <v>1475.1143999999999</v>
      </c>
      <c r="M183" s="52"/>
      <c r="N183" s="53" t="s">
        <v>50</v>
      </c>
      <c r="O183" s="52">
        <v>99.94</v>
      </c>
      <c r="P183" s="54" t="s">
        <v>64</v>
      </c>
      <c r="Q183" s="54">
        <v>133</v>
      </c>
      <c r="R183" s="55">
        <v>9</v>
      </c>
      <c r="S183" s="54">
        <v>110</v>
      </c>
      <c r="T183" s="56">
        <f t="shared" si="26"/>
        <v>880</v>
      </c>
      <c r="U183" s="52">
        <v>8</v>
      </c>
      <c r="V183" s="52">
        <v>108.36</v>
      </c>
      <c r="W183" s="52">
        <f t="shared" si="31"/>
        <v>108.36</v>
      </c>
      <c r="X183" s="52">
        <f t="shared" si="28"/>
        <v>866.88</v>
      </c>
      <c r="Y183" s="52"/>
      <c r="Z183" s="52">
        <v>108.43</v>
      </c>
      <c r="AA183" s="52">
        <f t="shared" si="29"/>
        <v>867.44</v>
      </c>
      <c r="AB183" s="52"/>
      <c r="AC183" s="52"/>
      <c r="AE183" s="57" t="s">
        <v>52</v>
      </c>
      <c r="AH183" s="57">
        <v>83.35</v>
      </c>
      <c r="AI183" s="58">
        <v>6</v>
      </c>
      <c r="AK183" s="57">
        <f t="shared" si="32"/>
        <v>666.8</v>
      </c>
      <c r="AP183" s="57">
        <v>0</v>
      </c>
      <c r="AQ183" s="59" t="s">
        <v>755</v>
      </c>
      <c r="AR183" s="60">
        <v>9</v>
      </c>
      <c r="AS183" s="60">
        <v>720</v>
      </c>
    </row>
    <row r="184" spans="2:45" s="57" customFormat="1">
      <c r="B184" s="46" t="s">
        <v>756</v>
      </c>
      <c r="C184" s="64" t="s">
        <v>757</v>
      </c>
      <c r="D184" s="64" t="s">
        <v>112</v>
      </c>
      <c r="E184" s="64" t="s">
        <v>56</v>
      </c>
      <c r="F184" s="64" t="s">
        <v>758</v>
      </c>
      <c r="G184" s="47">
        <v>1</v>
      </c>
      <c r="H184" s="65">
        <f t="shared" si="24"/>
        <v>125.12</v>
      </c>
      <c r="I184" s="49">
        <f t="shared" si="30"/>
        <v>125.12</v>
      </c>
      <c r="J184" s="50">
        <v>0.23</v>
      </c>
      <c r="K184" s="51">
        <f t="shared" si="25"/>
        <v>28.777600000000007</v>
      </c>
      <c r="L184" s="51">
        <f t="shared" si="27"/>
        <v>153.89760000000001</v>
      </c>
      <c r="M184" s="52"/>
      <c r="N184" s="53" t="s">
        <v>50</v>
      </c>
      <c r="O184" s="52">
        <v>83.41</v>
      </c>
      <c r="P184" s="54" t="s">
        <v>64</v>
      </c>
      <c r="Q184" s="54">
        <v>59.73</v>
      </c>
      <c r="R184" s="55"/>
      <c r="S184" s="54">
        <v>65</v>
      </c>
      <c r="T184" s="56">
        <f t="shared" si="26"/>
        <v>65</v>
      </c>
      <c r="U184" s="52">
        <v>3</v>
      </c>
      <c r="V184" s="52">
        <v>127.2</v>
      </c>
      <c r="W184" s="52">
        <f>ROUND(AH184*1.2,2)</f>
        <v>127.2</v>
      </c>
      <c r="X184" s="52">
        <f t="shared" si="28"/>
        <v>127.2</v>
      </c>
      <c r="Y184" s="52"/>
      <c r="Z184" s="52">
        <v>130.21</v>
      </c>
      <c r="AA184" s="52">
        <f t="shared" si="29"/>
        <v>130.21</v>
      </c>
      <c r="AB184" s="52"/>
      <c r="AC184" s="52"/>
      <c r="AE184" s="57" t="s">
        <v>52</v>
      </c>
      <c r="AH184" s="57">
        <v>106</v>
      </c>
      <c r="AI184" s="58">
        <v>0</v>
      </c>
      <c r="AK184" s="57">
        <f t="shared" si="32"/>
        <v>106</v>
      </c>
      <c r="AP184" s="57">
        <v>52</v>
      </c>
      <c r="AQ184" s="59" t="s">
        <v>759</v>
      </c>
      <c r="AR184" s="60">
        <v>27.231000000000002</v>
      </c>
      <c r="AS184" s="60">
        <v>816.93000000000006</v>
      </c>
    </row>
    <row r="185" spans="2:45" s="57" customFormat="1">
      <c r="B185" s="46" t="s">
        <v>760</v>
      </c>
      <c r="C185" s="64" t="s">
        <v>761</v>
      </c>
      <c r="D185" s="64" t="s">
        <v>762</v>
      </c>
      <c r="E185" s="64" t="s">
        <v>249</v>
      </c>
      <c r="F185" s="64" t="s">
        <v>763</v>
      </c>
      <c r="G185" s="47">
        <v>6</v>
      </c>
      <c r="H185" s="65">
        <f t="shared" si="24"/>
        <v>48.47</v>
      </c>
      <c r="I185" s="49">
        <f t="shared" si="30"/>
        <v>290.82</v>
      </c>
      <c r="J185" s="50">
        <v>0.23</v>
      </c>
      <c r="K185" s="51">
        <f t="shared" si="25"/>
        <v>66.888599999999997</v>
      </c>
      <c r="L185" s="51">
        <f t="shared" si="27"/>
        <v>357.70859999999999</v>
      </c>
      <c r="M185" s="52"/>
      <c r="N185" s="53" t="s">
        <v>50</v>
      </c>
      <c r="O185" s="52">
        <v>32.31</v>
      </c>
      <c r="P185" s="54" t="s">
        <v>64</v>
      </c>
      <c r="Q185" s="54">
        <v>34.229999999999997</v>
      </c>
      <c r="R185" s="55">
        <v>4</v>
      </c>
      <c r="S185" s="54">
        <v>35</v>
      </c>
      <c r="T185" s="56">
        <f t="shared" si="26"/>
        <v>210</v>
      </c>
      <c r="U185" s="52">
        <v>6</v>
      </c>
      <c r="V185" s="52">
        <v>46.21</v>
      </c>
      <c r="W185" s="52">
        <f>ROUND(AN185*1.35,2)</f>
        <v>46.21</v>
      </c>
      <c r="X185" s="52">
        <f t="shared" si="28"/>
        <v>277.26</v>
      </c>
      <c r="Y185" s="52"/>
      <c r="Z185" s="52">
        <v>34.81</v>
      </c>
      <c r="AA185" s="52">
        <f t="shared" si="29"/>
        <v>208.86</v>
      </c>
      <c r="AB185" s="52"/>
      <c r="AC185" s="52"/>
      <c r="AD185" s="57" t="s">
        <v>764</v>
      </c>
      <c r="AE185" s="57" t="s">
        <v>52</v>
      </c>
      <c r="AH185" s="57">
        <v>64.77</v>
      </c>
      <c r="AI185" s="58">
        <v>4</v>
      </c>
      <c r="AK185" s="57">
        <f t="shared" si="32"/>
        <v>388.62</v>
      </c>
      <c r="AM185" s="70" t="s">
        <v>765</v>
      </c>
      <c r="AN185" s="57">
        <v>34.229999999999997</v>
      </c>
      <c r="AP185" s="57">
        <v>1</v>
      </c>
      <c r="AQ185" s="59">
        <v>0</v>
      </c>
      <c r="AR185" s="59">
        <v>0</v>
      </c>
      <c r="AS185" s="60">
        <v>0</v>
      </c>
    </row>
    <row r="186" spans="2:45" s="57" customFormat="1" ht="22.5">
      <c r="B186" s="46" t="s">
        <v>766</v>
      </c>
      <c r="C186" s="64" t="s">
        <v>767</v>
      </c>
      <c r="D186" s="64" t="s">
        <v>132</v>
      </c>
      <c r="E186" s="64" t="s">
        <v>56</v>
      </c>
      <c r="F186" s="64" t="s">
        <v>768</v>
      </c>
      <c r="G186" s="47">
        <v>1</v>
      </c>
      <c r="H186" s="65">
        <f>ROUND(O186*1.2,2)</f>
        <v>94.19</v>
      </c>
      <c r="I186" s="49">
        <f t="shared" si="30"/>
        <v>94.19</v>
      </c>
      <c r="J186" s="50">
        <v>0.23</v>
      </c>
      <c r="K186" s="51">
        <f t="shared" si="25"/>
        <v>21.663700000000006</v>
      </c>
      <c r="L186" s="51">
        <f t="shared" si="27"/>
        <v>115.8537</v>
      </c>
      <c r="M186" s="52"/>
      <c r="N186" s="53" t="s">
        <v>114</v>
      </c>
      <c r="O186" s="52">
        <v>78.489999999999995</v>
      </c>
      <c r="P186" s="54" t="s">
        <v>24</v>
      </c>
      <c r="Q186" s="54"/>
      <c r="R186" s="55"/>
      <c r="S186" s="54">
        <v>83</v>
      </c>
      <c r="T186" s="56">
        <f t="shared" si="26"/>
        <v>83</v>
      </c>
      <c r="U186" s="52">
        <v>1</v>
      </c>
      <c r="V186" s="52">
        <v>86.34</v>
      </c>
      <c r="W186" s="52">
        <f>ROUND(AH186*1.1,2)</f>
        <v>86.34</v>
      </c>
      <c r="X186" s="52">
        <f t="shared" si="28"/>
        <v>86.34</v>
      </c>
      <c r="Y186" s="52">
        <v>0.1</v>
      </c>
      <c r="Z186" s="52">
        <v>85.2</v>
      </c>
      <c r="AA186" s="52">
        <f t="shared" si="29"/>
        <v>85.2</v>
      </c>
      <c r="AB186" s="52"/>
      <c r="AC186" s="52"/>
      <c r="AE186" s="57" t="s">
        <v>115</v>
      </c>
      <c r="AF186" s="57">
        <v>103.28</v>
      </c>
      <c r="AH186" s="57">
        <v>78.489999999999995</v>
      </c>
      <c r="AI186" s="58">
        <v>0</v>
      </c>
      <c r="AK186" s="57">
        <f t="shared" si="32"/>
        <v>78.489999999999995</v>
      </c>
      <c r="AP186" s="57">
        <v>2</v>
      </c>
      <c r="AQ186" s="59">
        <v>0</v>
      </c>
      <c r="AR186" s="59">
        <v>0</v>
      </c>
      <c r="AS186" s="60">
        <v>0</v>
      </c>
    </row>
    <row r="187" spans="2:45" s="57" customFormat="1" ht="22.5">
      <c r="B187" s="46" t="s">
        <v>769</v>
      </c>
      <c r="C187" s="64" t="s">
        <v>770</v>
      </c>
      <c r="D187" s="64" t="s">
        <v>328</v>
      </c>
      <c r="E187" s="64" t="s">
        <v>56</v>
      </c>
      <c r="F187" s="64" t="s">
        <v>771</v>
      </c>
      <c r="G187" s="47">
        <v>1</v>
      </c>
      <c r="H187" s="65">
        <v>49</v>
      </c>
      <c r="I187" s="49">
        <f t="shared" si="30"/>
        <v>49</v>
      </c>
      <c r="J187" s="50">
        <v>0.23</v>
      </c>
      <c r="K187" s="51">
        <f t="shared" si="25"/>
        <v>11.270000000000003</v>
      </c>
      <c r="L187" s="51">
        <f t="shared" si="27"/>
        <v>60.27</v>
      </c>
      <c r="M187" s="52"/>
      <c r="N187" s="53" t="s">
        <v>114</v>
      </c>
      <c r="O187" s="52">
        <v>47.9</v>
      </c>
      <c r="P187" s="54" t="s">
        <v>24</v>
      </c>
      <c r="Q187" s="54"/>
      <c r="R187" s="55"/>
      <c r="S187" s="54">
        <v>51</v>
      </c>
      <c r="T187" s="56">
        <f t="shared" si="26"/>
        <v>51</v>
      </c>
      <c r="U187" s="52"/>
      <c r="V187" s="52"/>
      <c r="W187" s="52"/>
      <c r="X187" s="52"/>
      <c r="Y187" s="52"/>
      <c r="Z187" s="52"/>
      <c r="AA187" s="52"/>
      <c r="AB187" s="52"/>
      <c r="AC187" s="52"/>
      <c r="AI187" s="58"/>
      <c r="AQ187" s="59"/>
      <c r="AR187" s="59"/>
      <c r="AS187" s="60"/>
    </row>
    <row r="188" spans="2:45" s="57" customFormat="1">
      <c r="B188" s="46" t="s">
        <v>772</v>
      </c>
      <c r="C188" s="46" t="s">
        <v>773</v>
      </c>
      <c r="D188" s="46" t="s">
        <v>112</v>
      </c>
      <c r="E188" s="46" t="s">
        <v>56</v>
      </c>
      <c r="F188" s="46" t="s">
        <v>774</v>
      </c>
      <c r="G188" s="61">
        <v>1</v>
      </c>
      <c r="H188" s="48">
        <f t="shared" si="24"/>
        <v>110.34</v>
      </c>
      <c r="I188" s="49">
        <f t="shared" si="30"/>
        <v>110.34</v>
      </c>
      <c r="J188" s="50">
        <v>0.23</v>
      </c>
      <c r="K188" s="51">
        <f t="shared" si="25"/>
        <v>25.378199999999993</v>
      </c>
      <c r="L188" s="51">
        <f t="shared" si="27"/>
        <v>135.7182</v>
      </c>
      <c r="M188" s="52"/>
      <c r="N188" s="53" t="s">
        <v>50</v>
      </c>
      <c r="O188" s="52">
        <v>73.56</v>
      </c>
      <c r="P188" s="54" t="s">
        <v>64</v>
      </c>
      <c r="Q188" s="54">
        <v>43.05</v>
      </c>
      <c r="R188" s="55">
        <v>1</v>
      </c>
      <c r="S188" s="54">
        <v>47</v>
      </c>
      <c r="T188" s="56">
        <f t="shared" si="26"/>
        <v>47</v>
      </c>
      <c r="U188" s="52">
        <v>1</v>
      </c>
      <c r="V188" s="52">
        <v>99</v>
      </c>
      <c r="W188" s="52">
        <f>ROUND(AH188*1.1,2)</f>
        <v>99</v>
      </c>
      <c r="X188" s="52">
        <f t="shared" si="28"/>
        <v>99</v>
      </c>
      <c r="Y188" s="52">
        <v>0.1</v>
      </c>
      <c r="Z188" s="52">
        <v>81.58</v>
      </c>
      <c r="AA188" s="52">
        <f t="shared" si="29"/>
        <v>81.58</v>
      </c>
      <c r="AB188" s="52"/>
      <c r="AC188" s="52"/>
      <c r="AE188" s="57" t="s">
        <v>52</v>
      </c>
      <c r="AH188" s="57">
        <v>90</v>
      </c>
      <c r="AI188" s="58">
        <v>0</v>
      </c>
      <c r="AK188" s="57">
        <f t="shared" si="32"/>
        <v>90</v>
      </c>
      <c r="AP188" s="57">
        <v>1</v>
      </c>
      <c r="AQ188" s="59">
        <v>0</v>
      </c>
      <c r="AR188" s="59">
        <v>0</v>
      </c>
      <c r="AS188" s="60">
        <v>0</v>
      </c>
    </row>
    <row r="189" spans="2:45" s="57" customFormat="1" ht="22.5">
      <c r="B189" s="46" t="s">
        <v>775</v>
      </c>
      <c r="C189" s="46" t="s">
        <v>776</v>
      </c>
      <c r="D189" s="46" t="s">
        <v>112</v>
      </c>
      <c r="E189" s="46" t="s">
        <v>56</v>
      </c>
      <c r="F189" s="46" t="s">
        <v>777</v>
      </c>
      <c r="G189" s="47">
        <v>7</v>
      </c>
      <c r="H189" s="48">
        <f t="shared" si="24"/>
        <v>42.65</v>
      </c>
      <c r="I189" s="49">
        <f t="shared" si="30"/>
        <v>298.55</v>
      </c>
      <c r="J189" s="50">
        <v>0.23</v>
      </c>
      <c r="K189" s="51">
        <f t="shared" si="25"/>
        <v>68.666499999999985</v>
      </c>
      <c r="L189" s="51">
        <f t="shared" si="27"/>
        <v>367.2165</v>
      </c>
      <c r="M189" s="52" t="s">
        <v>684</v>
      </c>
      <c r="N189" s="53" t="s">
        <v>114</v>
      </c>
      <c r="O189" s="52">
        <v>28.43</v>
      </c>
      <c r="P189" s="54" t="s">
        <v>24</v>
      </c>
      <c r="Q189" s="54"/>
      <c r="R189" s="55">
        <v>24</v>
      </c>
      <c r="S189" s="54">
        <v>31</v>
      </c>
      <c r="T189" s="56">
        <f t="shared" si="26"/>
        <v>217</v>
      </c>
      <c r="U189" s="52">
        <v>7</v>
      </c>
      <c r="V189" s="52">
        <v>56.64</v>
      </c>
      <c r="W189" s="52">
        <f t="shared" si="31"/>
        <v>56.64</v>
      </c>
      <c r="X189" s="52">
        <f t="shared" si="28"/>
        <v>396.48</v>
      </c>
      <c r="Y189" s="52"/>
      <c r="Z189" s="52">
        <v>38.4</v>
      </c>
      <c r="AA189" s="52">
        <f t="shared" si="29"/>
        <v>268.8</v>
      </c>
      <c r="AB189" s="52"/>
      <c r="AC189" s="52"/>
      <c r="AE189" s="57" t="s">
        <v>52</v>
      </c>
      <c r="AH189" s="57">
        <v>43.57</v>
      </c>
      <c r="AI189" s="58">
        <v>4</v>
      </c>
      <c r="AK189" s="57">
        <f t="shared" si="32"/>
        <v>304.99</v>
      </c>
      <c r="AP189" s="57">
        <v>1</v>
      </c>
      <c r="AQ189" s="59">
        <v>0</v>
      </c>
      <c r="AR189" s="59">
        <v>0</v>
      </c>
      <c r="AS189" s="60">
        <v>0</v>
      </c>
    </row>
    <row r="190" spans="2:45" s="57" customFormat="1" ht="22.5">
      <c r="B190" s="46" t="s">
        <v>778</v>
      </c>
      <c r="C190" s="46" t="s">
        <v>779</v>
      </c>
      <c r="D190" s="46" t="s">
        <v>112</v>
      </c>
      <c r="E190" s="46" t="s">
        <v>56</v>
      </c>
      <c r="F190" s="46" t="s">
        <v>780</v>
      </c>
      <c r="G190" s="47">
        <v>2</v>
      </c>
      <c r="H190" s="48">
        <f t="shared" si="24"/>
        <v>66.680000000000007</v>
      </c>
      <c r="I190" s="49">
        <f t="shared" si="30"/>
        <v>133.36000000000001</v>
      </c>
      <c r="J190" s="50">
        <v>0.23</v>
      </c>
      <c r="K190" s="51">
        <f t="shared" si="25"/>
        <v>30.672799999999995</v>
      </c>
      <c r="L190" s="51">
        <f t="shared" si="27"/>
        <v>164.03280000000001</v>
      </c>
      <c r="M190" s="52"/>
      <c r="N190" s="53" t="s">
        <v>114</v>
      </c>
      <c r="O190" s="52">
        <v>44.45</v>
      </c>
      <c r="P190" s="54" t="s">
        <v>24</v>
      </c>
      <c r="Q190" s="54"/>
      <c r="R190" s="55">
        <v>1</v>
      </c>
      <c r="S190" s="54">
        <v>48</v>
      </c>
      <c r="T190" s="56">
        <f t="shared" si="26"/>
        <v>96</v>
      </c>
      <c r="U190" s="52">
        <v>2</v>
      </c>
      <c r="V190" s="52">
        <v>57.79</v>
      </c>
      <c r="W190" s="52">
        <f t="shared" si="31"/>
        <v>57.79</v>
      </c>
      <c r="X190" s="52">
        <f t="shared" si="28"/>
        <v>115.58</v>
      </c>
      <c r="Y190" s="52"/>
      <c r="Z190" s="52">
        <v>41</v>
      </c>
      <c r="AA190" s="52">
        <f t="shared" si="29"/>
        <v>82</v>
      </c>
      <c r="AB190" s="52"/>
      <c r="AC190" s="52"/>
      <c r="AE190" s="57" t="s">
        <v>115</v>
      </c>
      <c r="AF190" s="57">
        <v>58.49</v>
      </c>
      <c r="AH190" s="57">
        <v>44.45</v>
      </c>
      <c r="AI190" s="58">
        <v>1</v>
      </c>
      <c r="AJ190" s="57">
        <v>41</v>
      </c>
      <c r="AK190" s="57">
        <f>AJ190*G190</f>
        <v>82</v>
      </c>
      <c r="AP190" s="57">
        <v>55</v>
      </c>
      <c r="AQ190" s="59" t="s">
        <v>781</v>
      </c>
      <c r="AR190" s="60">
        <v>22.76</v>
      </c>
      <c r="AS190" s="60">
        <v>2276</v>
      </c>
    </row>
    <row r="191" spans="2:45" s="57" customFormat="1" ht="22.5">
      <c r="B191" s="46" t="s">
        <v>782</v>
      </c>
      <c r="C191" s="46" t="s">
        <v>783</v>
      </c>
      <c r="D191" s="46" t="s">
        <v>112</v>
      </c>
      <c r="E191" s="46" t="s">
        <v>56</v>
      </c>
      <c r="F191" s="46" t="s">
        <v>784</v>
      </c>
      <c r="G191" s="47">
        <v>5</v>
      </c>
      <c r="H191" s="48">
        <f t="shared" si="24"/>
        <v>19.739999999999998</v>
      </c>
      <c r="I191" s="49">
        <f t="shared" si="30"/>
        <v>98.699999999999989</v>
      </c>
      <c r="J191" s="50">
        <v>0.23</v>
      </c>
      <c r="K191" s="51">
        <f t="shared" si="25"/>
        <v>22.700999999999993</v>
      </c>
      <c r="L191" s="51">
        <f t="shared" si="27"/>
        <v>121.40099999999998</v>
      </c>
      <c r="M191" s="52"/>
      <c r="N191" s="53" t="s">
        <v>114</v>
      </c>
      <c r="O191" s="52">
        <v>13.16</v>
      </c>
      <c r="P191" s="54" t="s">
        <v>24</v>
      </c>
      <c r="Q191" s="54"/>
      <c r="R191" s="55">
        <v>8</v>
      </c>
      <c r="S191" s="54">
        <v>15</v>
      </c>
      <c r="T191" s="56">
        <f t="shared" si="26"/>
        <v>75</v>
      </c>
      <c r="U191" s="52">
        <v>5</v>
      </c>
      <c r="V191" s="52">
        <v>17.11</v>
      </c>
      <c r="W191" s="52">
        <f t="shared" si="31"/>
        <v>17.11</v>
      </c>
      <c r="X191" s="52">
        <f t="shared" si="28"/>
        <v>85.55</v>
      </c>
      <c r="Y191" s="52"/>
      <c r="Z191" s="52">
        <v>13</v>
      </c>
      <c r="AA191" s="52">
        <f t="shared" si="29"/>
        <v>65</v>
      </c>
      <c r="AB191" s="52"/>
      <c r="AC191" s="52"/>
      <c r="AE191" s="57" t="s">
        <v>115</v>
      </c>
      <c r="AF191" s="57">
        <v>17.309999999999999</v>
      </c>
      <c r="AH191" s="57">
        <v>13.16</v>
      </c>
      <c r="AI191" s="58">
        <v>3</v>
      </c>
      <c r="AJ191" s="57">
        <v>12.1</v>
      </c>
      <c r="AK191" s="57">
        <f>AJ191*G191</f>
        <v>60.5</v>
      </c>
      <c r="AP191" s="57">
        <v>0</v>
      </c>
      <c r="AQ191" s="59">
        <v>0</v>
      </c>
      <c r="AR191" s="59">
        <v>0</v>
      </c>
      <c r="AS191" s="60">
        <v>0</v>
      </c>
    </row>
    <row r="192" spans="2:45" s="57" customFormat="1">
      <c r="B192" s="46" t="s">
        <v>785</v>
      </c>
      <c r="C192" s="46" t="s">
        <v>786</v>
      </c>
      <c r="D192" s="46" t="s">
        <v>142</v>
      </c>
      <c r="E192" s="46" t="s">
        <v>56</v>
      </c>
      <c r="F192" s="46" t="s">
        <v>787</v>
      </c>
      <c r="G192" s="47">
        <v>1</v>
      </c>
      <c r="H192" s="48">
        <f t="shared" si="24"/>
        <v>430.23</v>
      </c>
      <c r="I192" s="49">
        <f t="shared" si="30"/>
        <v>430.23</v>
      </c>
      <c r="J192" s="50">
        <v>0.23</v>
      </c>
      <c r="K192" s="51">
        <f t="shared" si="25"/>
        <v>98.9529</v>
      </c>
      <c r="L192" s="51">
        <f t="shared" si="27"/>
        <v>529.18290000000002</v>
      </c>
      <c r="M192" s="52"/>
      <c r="N192" s="53" t="s">
        <v>50</v>
      </c>
      <c r="O192" s="52">
        <v>286.82</v>
      </c>
      <c r="P192" s="54" t="s">
        <v>64</v>
      </c>
      <c r="Q192" s="54">
        <v>50.85</v>
      </c>
      <c r="R192" s="55"/>
      <c r="S192" s="54">
        <v>55</v>
      </c>
      <c r="T192" s="56">
        <f t="shared" si="26"/>
        <v>55</v>
      </c>
      <c r="U192" s="52">
        <v>6</v>
      </c>
      <c r="V192" s="52">
        <v>287.02</v>
      </c>
      <c r="W192" s="52">
        <f>ROUND(AH192*1.2,2)</f>
        <v>287.02</v>
      </c>
      <c r="X192" s="52">
        <f t="shared" si="28"/>
        <v>287.02</v>
      </c>
      <c r="Y192" s="52">
        <v>0.2</v>
      </c>
      <c r="Z192" s="52">
        <v>267.60000000000002</v>
      </c>
      <c r="AA192" s="52">
        <f t="shared" si="29"/>
        <v>267.60000000000002</v>
      </c>
      <c r="AB192" s="52"/>
      <c r="AC192" s="52"/>
      <c r="AE192" s="57" t="s">
        <v>52</v>
      </c>
      <c r="AH192" s="57">
        <v>239.18</v>
      </c>
      <c r="AI192" s="58">
        <v>5</v>
      </c>
      <c r="AK192" s="57">
        <f t="shared" ref="AK192:AK206" si="33">AH192*G192</f>
        <v>239.18</v>
      </c>
      <c r="AP192" s="57">
        <v>2</v>
      </c>
      <c r="AQ192" s="59">
        <v>0</v>
      </c>
      <c r="AR192" s="59">
        <v>0</v>
      </c>
      <c r="AS192" s="60">
        <v>0</v>
      </c>
    </row>
    <row r="193" spans="2:45" s="57" customFormat="1" ht="22.5">
      <c r="B193" s="46" t="s">
        <v>788</v>
      </c>
      <c r="C193" s="64" t="s">
        <v>789</v>
      </c>
      <c r="D193" s="64" t="s">
        <v>132</v>
      </c>
      <c r="E193" s="64" t="s">
        <v>56</v>
      </c>
      <c r="F193" s="64" t="s">
        <v>790</v>
      </c>
      <c r="G193" s="47">
        <v>1</v>
      </c>
      <c r="H193" s="65">
        <f>ROUND(O193*1.2,2)</f>
        <v>106.49</v>
      </c>
      <c r="I193" s="49">
        <f t="shared" si="30"/>
        <v>106.49</v>
      </c>
      <c r="J193" s="50">
        <v>0.23</v>
      </c>
      <c r="K193" s="51">
        <f t="shared" si="25"/>
        <v>24.492699999999999</v>
      </c>
      <c r="L193" s="51">
        <f t="shared" si="27"/>
        <v>130.98269999999999</v>
      </c>
      <c r="M193" s="52"/>
      <c r="N193" s="53" t="s">
        <v>114</v>
      </c>
      <c r="O193" s="52">
        <v>88.74</v>
      </c>
      <c r="P193" s="54" t="s">
        <v>24</v>
      </c>
      <c r="Q193" s="54"/>
      <c r="R193" s="55"/>
      <c r="S193" s="54">
        <v>96</v>
      </c>
      <c r="T193" s="56">
        <f t="shared" si="26"/>
        <v>96</v>
      </c>
      <c r="U193" s="52">
        <v>1</v>
      </c>
      <c r="V193" s="52">
        <v>97.61</v>
      </c>
      <c r="W193" s="52">
        <f>ROUND(AH193*1.1,2)</f>
        <v>97.61</v>
      </c>
      <c r="X193" s="52">
        <f t="shared" si="28"/>
        <v>97.61</v>
      </c>
      <c r="Y193" s="52">
        <v>0.1</v>
      </c>
      <c r="Z193" s="52">
        <v>98.4</v>
      </c>
      <c r="AA193" s="52">
        <f t="shared" si="29"/>
        <v>98.4</v>
      </c>
      <c r="AB193" s="52"/>
      <c r="AC193" s="52"/>
      <c r="AE193" s="57" t="s">
        <v>115</v>
      </c>
      <c r="AF193" s="57">
        <v>116.76</v>
      </c>
      <c r="AH193" s="57">
        <v>88.74</v>
      </c>
      <c r="AI193" s="58">
        <v>0</v>
      </c>
      <c r="AK193" s="57">
        <f t="shared" si="33"/>
        <v>88.74</v>
      </c>
      <c r="AP193" s="57">
        <v>0</v>
      </c>
      <c r="AQ193" s="59">
        <v>0</v>
      </c>
      <c r="AR193" s="59">
        <v>0</v>
      </c>
      <c r="AS193" s="60">
        <v>0</v>
      </c>
    </row>
    <row r="194" spans="2:45" s="57" customFormat="1" ht="33.75">
      <c r="B194" s="46" t="s">
        <v>791</v>
      </c>
      <c r="C194" s="46" t="s">
        <v>792</v>
      </c>
      <c r="D194" s="66" t="s">
        <v>793</v>
      </c>
      <c r="E194" s="46" t="s">
        <v>107</v>
      </c>
      <c r="F194" s="46" t="s">
        <v>794</v>
      </c>
      <c r="G194" s="67">
        <v>1</v>
      </c>
      <c r="H194" s="48">
        <f>ROUND(O194*1.2,2)</f>
        <v>383.17</v>
      </c>
      <c r="I194" s="49">
        <f t="shared" si="30"/>
        <v>383.17</v>
      </c>
      <c r="J194" s="50">
        <v>0.23</v>
      </c>
      <c r="K194" s="51">
        <f t="shared" si="25"/>
        <v>88.129099999999994</v>
      </c>
      <c r="L194" s="51">
        <f t="shared" si="27"/>
        <v>471.29910000000001</v>
      </c>
      <c r="M194" s="52" t="s">
        <v>294</v>
      </c>
      <c r="N194" s="53" t="s">
        <v>91</v>
      </c>
      <c r="O194" s="52">
        <v>319.31</v>
      </c>
      <c r="P194" s="54" t="s">
        <v>92</v>
      </c>
      <c r="Q194" s="54"/>
      <c r="R194" s="55">
        <v>1</v>
      </c>
      <c r="S194" s="54">
        <v>320</v>
      </c>
      <c r="T194" s="56">
        <f t="shared" si="26"/>
        <v>320</v>
      </c>
      <c r="U194" s="52">
        <v>1</v>
      </c>
      <c r="V194" s="52">
        <v>398.75</v>
      </c>
      <c r="W194" s="52">
        <f>ROUND(AH194*1.2,2)</f>
        <v>398.75</v>
      </c>
      <c r="X194" s="52">
        <f t="shared" si="28"/>
        <v>398.75</v>
      </c>
      <c r="Y194" s="52">
        <v>0.2</v>
      </c>
      <c r="Z194" s="52">
        <v>385.26</v>
      </c>
      <c r="AA194" s="52">
        <f t="shared" si="29"/>
        <v>385.26</v>
      </c>
      <c r="AB194" s="52"/>
      <c r="AC194" s="52"/>
      <c r="AE194" s="57" t="s">
        <v>93</v>
      </c>
      <c r="AF194" s="57">
        <v>390.93</v>
      </c>
      <c r="AG194" s="62">
        <v>0.15</v>
      </c>
      <c r="AH194" s="57">
        <v>332.29</v>
      </c>
      <c r="AI194" s="58">
        <v>1</v>
      </c>
      <c r="AK194" s="57">
        <f t="shared" si="33"/>
        <v>332.29</v>
      </c>
      <c r="AQ194" s="59">
        <v>0</v>
      </c>
      <c r="AR194" s="59">
        <v>0</v>
      </c>
      <c r="AS194" s="60">
        <v>0</v>
      </c>
    </row>
    <row r="195" spans="2:45" s="57" customFormat="1">
      <c r="B195" s="46" t="s">
        <v>795</v>
      </c>
      <c r="C195" s="46" t="s">
        <v>796</v>
      </c>
      <c r="D195" s="46" t="s">
        <v>132</v>
      </c>
      <c r="E195" s="46" t="s">
        <v>56</v>
      </c>
      <c r="F195" s="46" t="s">
        <v>797</v>
      </c>
      <c r="G195" s="61">
        <v>1</v>
      </c>
      <c r="H195" s="48">
        <f t="shared" si="24"/>
        <v>152.21</v>
      </c>
      <c r="I195" s="49">
        <f t="shared" si="30"/>
        <v>152.21</v>
      </c>
      <c r="J195" s="50">
        <v>0.23</v>
      </c>
      <c r="K195" s="51">
        <f t="shared" si="25"/>
        <v>35.008299999999991</v>
      </c>
      <c r="L195" s="51">
        <f t="shared" si="27"/>
        <v>187.2183</v>
      </c>
      <c r="M195" s="52"/>
      <c r="N195" s="53" t="s">
        <v>50</v>
      </c>
      <c r="O195" s="52">
        <v>101.47</v>
      </c>
      <c r="P195" s="54" t="s">
        <v>64</v>
      </c>
      <c r="Q195" s="54">
        <v>134.78</v>
      </c>
      <c r="R195" s="55"/>
      <c r="S195" s="54">
        <v>110</v>
      </c>
      <c r="T195" s="56">
        <f t="shared" si="26"/>
        <v>110</v>
      </c>
      <c r="U195" s="52">
        <v>1</v>
      </c>
      <c r="V195" s="52">
        <v>187.51</v>
      </c>
      <c r="W195" s="52">
        <f>ROUND(AH195*1.1,2)</f>
        <v>187.51</v>
      </c>
      <c r="X195" s="52">
        <f t="shared" si="28"/>
        <v>187.51</v>
      </c>
      <c r="Y195" s="52">
        <v>0.1</v>
      </c>
      <c r="Z195" s="52">
        <v>90</v>
      </c>
      <c r="AA195" s="52">
        <f t="shared" si="29"/>
        <v>90</v>
      </c>
      <c r="AB195" s="57" t="s">
        <v>128</v>
      </c>
      <c r="AC195" s="52"/>
      <c r="AE195" s="57" t="s">
        <v>52</v>
      </c>
      <c r="AH195" s="57">
        <v>170.46</v>
      </c>
      <c r="AI195" s="58">
        <v>0</v>
      </c>
      <c r="AK195" s="57">
        <f t="shared" si="33"/>
        <v>170.46</v>
      </c>
      <c r="AP195" s="57">
        <v>6</v>
      </c>
      <c r="AQ195" s="59" t="s">
        <v>798</v>
      </c>
      <c r="AR195" s="60">
        <v>83.345999999999989</v>
      </c>
      <c r="AS195" s="60">
        <v>250.03799999999995</v>
      </c>
    </row>
    <row r="196" spans="2:45" s="57" customFormat="1">
      <c r="B196" s="46" t="s">
        <v>799</v>
      </c>
      <c r="C196" s="46" t="s">
        <v>800</v>
      </c>
      <c r="D196" s="46" t="s">
        <v>622</v>
      </c>
      <c r="E196" s="46" t="s">
        <v>56</v>
      </c>
      <c r="F196" s="64" t="s">
        <v>801</v>
      </c>
      <c r="G196" s="47">
        <v>2</v>
      </c>
      <c r="H196" s="48">
        <f t="shared" si="24"/>
        <v>76.62</v>
      </c>
      <c r="I196" s="49">
        <f t="shared" si="30"/>
        <v>153.24</v>
      </c>
      <c r="J196" s="50">
        <v>0.23</v>
      </c>
      <c r="K196" s="51">
        <f t="shared" si="25"/>
        <v>35.245200000000011</v>
      </c>
      <c r="L196" s="51">
        <f t="shared" si="27"/>
        <v>188.48520000000002</v>
      </c>
      <c r="M196" s="52"/>
      <c r="N196" s="53" t="s">
        <v>50</v>
      </c>
      <c r="O196" s="52">
        <v>51.08</v>
      </c>
      <c r="P196" s="54" t="s">
        <v>64</v>
      </c>
      <c r="Q196" s="54">
        <v>12.51</v>
      </c>
      <c r="R196" s="55">
        <v>2</v>
      </c>
      <c r="S196" s="54">
        <v>14</v>
      </c>
      <c r="T196" s="56">
        <f t="shared" si="26"/>
        <v>28</v>
      </c>
      <c r="U196" s="52">
        <v>5</v>
      </c>
      <c r="V196" s="52">
        <v>21.61</v>
      </c>
      <c r="W196" s="52">
        <f t="shared" si="31"/>
        <v>21.61</v>
      </c>
      <c r="X196" s="52">
        <f t="shared" si="28"/>
        <v>43.22</v>
      </c>
      <c r="Y196" s="52"/>
      <c r="Z196" s="52">
        <v>18.239999999999998</v>
      </c>
      <c r="AA196" s="52">
        <f t="shared" si="29"/>
        <v>36.479999999999997</v>
      </c>
      <c r="AB196" s="52"/>
      <c r="AC196" s="52"/>
      <c r="AE196" s="57" t="s">
        <v>52</v>
      </c>
      <c r="AH196" s="57">
        <v>16.62</v>
      </c>
      <c r="AI196" s="58">
        <v>2</v>
      </c>
      <c r="AK196" s="57">
        <f t="shared" si="33"/>
        <v>33.24</v>
      </c>
      <c r="AP196" s="57">
        <v>0</v>
      </c>
      <c r="AQ196" s="59" t="s">
        <v>802</v>
      </c>
      <c r="AR196" s="60">
        <v>106</v>
      </c>
      <c r="AS196" s="60">
        <v>318</v>
      </c>
    </row>
    <row r="197" spans="2:45" s="57" customFormat="1" ht="22.5">
      <c r="B197" s="46" t="s">
        <v>803</v>
      </c>
      <c r="C197" s="46" t="s">
        <v>804</v>
      </c>
      <c r="D197" s="46" t="s">
        <v>132</v>
      </c>
      <c r="E197" s="46" t="s">
        <v>56</v>
      </c>
      <c r="F197" s="64" t="s">
        <v>805</v>
      </c>
      <c r="G197" s="47">
        <v>4</v>
      </c>
      <c r="H197" s="65">
        <f t="shared" si="24"/>
        <v>41.82</v>
      </c>
      <c r="I197" s="49">
        <f t="shared" si="30"/>
        <v>167.28</v>
      </c>
      <c r="J197" s="50">
        <v>0.23</v>
      </c>
      <c r="K197" s="51">
        <f t="shared" si="25"/>
        <v>38.474400000000003</v>
      </c>
      <c r="L197" s="51">
        <f t="shared" si="27"/>
        <v>205.7544</v>
      </c>
      <c r="M197" s="52" t="s">
        <v>684</v>
      </c>
      <c r="N197" s="53" t="s">
        <v>114</v>
      </c>
      <c r="O197" s="52">
        <v>27.88</v>
      </c>
      <c r="P197" s="54" t="s">
        <v>64</v>
      </c>
      <c r="Q197" s="54"/>
      <c r="R197" s="55">
        <v>2</v>
      </c>
      <c r="S197" s="54">
        <v>31</v>
      </c>
      <c r="T197" s="56">
        <f t="shared" si="26"/>
        <v>124</v>
      </c>
      <c r="U197" s="52">
        <v>4</v>
      </c>
      <c r="V197" s="52">
        <v>75.400000000000006</v>
      </c>
      <c r="W197" s="52">
        <f t="shared" si="31"/>
        <v>75.400000000000006</v>
      </c>
      <c r="X197" s="52">
        <f t="shared" si="28"/>
        <v>301.60000000000002</v>
      </c>
      <c r="Y197" s="52"/>
      <c r="Z197" s="52">
        <v>50.4</v>
      </c>
      <c r="AA197" s="52">
        <f t="shared" si="29"/>
        <v>201.6</v>
      </c>
      <c r="AB197" s="52"/>
      <c r="AC197" s="52"/>
      <c r="AE197" s="57" t="s">
        <v>52</v>
      </c>
      <c r="AH197" s="57">
        <v>58</v>
      </c>
      <c r="AI197" s="58">
        <v>2</v>
      </c>
      <c r="AK197" s="57">
        <f t="shared" si="33"/>
        <v>232</v>
      </c>
      <c r="AP197" s="57">
        <v>4</v>
      </c>
      <c r="AQ197" s="59">
        <v>0</v>
      </c>
      <c r="AR197" s="59">
        <v>0</v>
      </c>
      <c r="AS197" s="60">
        <v>0</v>
      </c>
    </row>
    <row r="198" spans="2:45" s="57" customFormat="1">
      <c r="B198" s="46" t="s">
        <v>806</v>
      </c>
      <c r="C198" s="46" t="s">
        <v>807</v>
      </c>
      <c r="D198" s="46" t="s">
        <v>47</v>
      </c>
      <c r="E198" s="46" t="s">
        <v>56</v>
      </c>
      <c r="F198" s="46" t="s">
        <v>808</v>
      </c>
      <c r="G198" s="76">
        <v>400</v>
      </c>
      <c r="H198" s="48">
        <f>ROUND(O198*1.3,2)</f>
        <v>13.07</v>
      </c>
      <c r="I198" s="49">
        <f t="shared" si="30"/>
        <v>5228</v>
      </c>
      <c r="J198" s="50">
        <v>0.23</v>
      </c>
      <c r="K198" s="51">
        <f t="shared" si="25"/>
        <v>1202.4400000000005</v>
      </c>
      <c r="L198" s="51">
        <f t="shared" si="27"/>
        <v>6430.4400000000005</v>
      </c>
      <c r="M198" s="52" t="s">
        <v>809</v>
      </c>
      <c r="N198" s="53" t="s">
        <v>50</v>
      </c>
      <c r="O198" s="52">
        <v>10.050000000000001</v>
      </c>
      <c r="P198" s="54" t="s">
        <v>51</v>
      </c>
      <c r="Q198" s="54">
        <v>6.59</v>
      </c>
      <c r="R198" s="55">
        <v>290</v>
      </c>
      <c r="S198" s="54">
        <v>7</v>
      </c>
      <c r="T198" s="56">
        <f t="shared" si="26"/>
        <v>2800</v>
      </c>
      <c r="U198" s="52">
        <v>400</v>
      </c>
      <c r="V198" s="52">
        <v>14.3</v>
      </c>
      <c r="W198" s="52">
        <f t="shared" si="31"/>
        <v>14.3</v>
      </c>
      <c r="X198" s="52">
        <f t="shared" si="28"/>
        <v>5720</v>
      </c>
      <c r="Y198" s="52"/>
      <c r="Z198" s="52">
        <v>8.57</v>
      </c>
      <c r="AA198" s="52">
        <f t="shared" si="29"/>
        <v>3428</v>
      </c>
      <c r="AB198" s="52"/>
      <c r="AC198" s="52"/>
      <c r="AE198" s="57" t="s">
        <v>52</v>
      </c>
      <c r="AH198" s="57">
        <v>11</v>
      </c>
      <c r="AI198" s="58">
        <v>375</v>
      </c>
      <c r="AK198" s="57">
        <f t="shared" si="33"/>
        <v>4400</v>
      </c>
      <c r="AP198" s="57">
        <v>0</v>
      </c>
      <c r="AQ198" s="59">
        <v>0</v>
      </c>
      <c r="AR198" s="59">
        <v>0</v>
      </c>
      <c r="AS198" s="60">
        <v>0</v>
      </c>
    </row>
    <row r="199" spans="2:45" s="57" customFormat="1">
      <c r="B199" s="46" t="s">
        <v>810</v>
      </c>
      <c r="C199" s="46" t="s">
        <v>811</v>
      </c>
      <c r="D199" s="46" t="s">
        <v>67</v>
      </c>
      <c r="E199" s="46" t="s">
        <v>56</v>
      </c>
      <c r="F199" s="46" t="s">
        <v>812</v>
      </c>
      <c r="G199" s="76">
        <v>10</v>
      </c>
      <c r="H199" s="48">
        <f t="shared" si="24"/>
        <v>38.18</v>
      </c>
      <c r="I199" s="49">
        <f t="shared" si="30"/>
        <v>381.8</v>
      </c>
      <c r="J199" s="50">
        <v>0.23</v>
      </c>
      <c r="K199" s="51">
        <f t="shared" si="25"/>
        <v>87.814000000000021</v>
      </c>
      <c r="L199" s="51">
        <f t="shared" si="27"/>
        <v>469.61400000000003</v>
      </c>
      <c r="M199" s="52"/>
      <c r="N199" s="53" t="s">
        <v>50</v>
      </c>
      <c r="O199" s="52">
        <v>25.45</v>
      </c>
      <c r="P199" s="54" t="s">
        <v>64</v>
      </c>
      <c r="Q199" s="54">
        <f>17.85*2.5</f>
        <v>44.625</v>
      </c>
      <c r="R199" s="55">
        <v>3</v>
      </c>
      <c r="S199" s="54">
        <v>28</v>
      </c>
      <c r="T199" s="56">
        <f t="shared" si="26"/>
        <v>280</v>
      </c>
      <c r="U199" s="52">
        <v>10</v>
      </c>
      <c r="V199" s="52">
        <v>50.7</v>
      </c>
      <c r="W199" s="52">
        <f t="shared" si="31"/>
        <v>50.7</v>
      </c>
      <c r="X199" s="52">
        <f t="shared" si="28"/>
        <v>507</v>
      </c>
      <c r="Y199" s="52"/>
      <c r="Z199" s="52">
        <v>25</v>
      </c>
      <c r="AA199" s="52">
        <f t="shared" si="29"/>
        <v>250</v>
      </c>
      <c r="AB199" s="52"/>
      <c r="AC199" s="52"/>
      <c r="AE199" s="57" t="s">
        <v>52</v>
      </c>
      <c r="AH199" s="57">
        <v>39</v>
      </c>
      <c r="AI199" s="58">
        <v>2</v>
      </c>
      <c r="AK199" s="57">
        <f t="shared" si="33"/>
        <v>390</v>
      </c>
      <c r="AP199" s="57">
        <v>0</v>
      </c>
      <c r="AQ199" s="59" t="s">
        <v>813</v>
      </c>
      <c r="AR199" s="60">
        <v>65</v>
      </c>
      <c r="AS199" s="60">
        <v>325</v>
      </c>
    </row>
    <row r="200" spans="2:45" s="57" customFormat="1">
      <c r="B200" s="46" t="s">
        <v>814</v>
      </c>
      <c r="C200" s="46" t="s">
        <v>815</v>
      </c>
      <c r="D200" s="46" t="s">
        <v>67</v>
      </c>
      <c r="E200" s="46" t="s">
        <v>68</v>
      </c>
      <c r="F200" s="46" t="s">
        <v>816</v>
      </c>
      <c r="G200" s="47">
        <v>30</v>
      </c>
      <c r="H200" s="48">
        <f t="shared" si="24"/>
        <v>55.14</v>
      </c>
      <c r="I200" s="49">
        <f t="shared" si="30"/>
        <v>1654.2</v>
      </c>
      <c r="J200" s="50">
        <v>0.23</v>
      </c>
      <c r="K200" s="51">
        <f t="shared" si="25"/>
        <v>380.46600000000012</v>
      </c>
      <c r="L200" s="51">
        <f t="shared" si="27"/>
        <v>2034.6660000000002</v>
      </c>
      <c r="M200" s="52" t="s">
        <v>817</v>
      </c>
      <c r="N200" s="53" t="s">
        <v>50</v>
      </c>
      <c r="O200" s="52">
        <v>36.76</v>
      </c>
      <c r="P200" s="54" t="s">
        <v>64</v>
      </c>
      <c r="Q200" s="54"/>
      <c r="R200" s="55">
        <v>31</v>
      </c>
      <c r="S200" s="54">
        <v>40</v>
      </c>
      <c r="T200" s="56">
        <f t="shared" si="26"/>
        <v>1200</v>
      </c>
      <c r="U200" s="52">
        <v>55</v>
      </c>
      <c r="V200" s="52">
        <v>37.700000000000003</v>
      </c>
      <c r="W200" s="52">
        <f t="shared" si="31"/>
        <v>37.700000000000003</v>
      </c>
      <c r="X200" s="52">
        <f t="shared" si="28"/>
        <v>1131</v>
      </c>
      <c r="Y200" s="52"/>
      <c r="Z200" s="52">
        <v>31.98</v>
      </c>
      <c r="AA200" s="52">
        <f t="shared" si="29"/>
        <v>959.4</v>
      </c>
      <c r="AB200" s="52"/>
      <c r="AC200" s="52"/>
      <c r="AE200" s="57" t="s">
        <v>52</v>
      </c>
      <c r="AH200" s="57">
        <v>29</v>
      </c>
      <c r="AI200" s="58">
        <v>53</v>
      </c>
      <c r="AK200" s="57">
        <f t="shared" si="33"/>
        <v>870</v>
      </c>
      <c r="AP200" s="57">
        <v>4</v>
      </c>
      <c r="AQ200" s="59" t="s">
        <v>818</v>
      </c>
      <c r="AR200" s="60">
        <v>43.572499999999998</v>
      </c>
      <c r="AS200" s="60">
        <v>435.72499999999997</v>
      </c>
    </row>
    <row r="201" spans="2:45" s="57" customFormat="1">
      <c r="B201" s="46" t="s">
        <v>819</v>
      </c>
      <c r="C201" s="85" t="s">
        <v>820</v>
      </c>
      <c r="D201" s="64">
        <v>2.5</v>
      </c>
      <c r="E201" s="64" t="s">
        <v>68</v>
      </c>
      <c r="F201" s="64" t="s">
        <v>821</v>
      </c>
      <c r="G201" s="47">
        <v>30</v>
      </c>
      <c r="H201" s="48">
        <f t="shared" si="24"/>
        <v>45</v>
      </c>
      <c r="I201" s="49">
        <f t="shared" si="30"/>
        <v>1350</v>
      </c>
      <c r="J201" s="50">
        <v>0.23</v>
      </c>
      <c r="K201" s="51">
        <f t="shared" si="25"/>
        <v>310.5</v>
      </c>
      <c r="L201" s="51">
        <f t="shared" si="27"/>
        <v>1660.5</v>
      </c>
      <c r="M201" s="52"/>
      <c r="N201" s="53" t="s">
        <v>79</v>
      </c>
      <c r="O201" s="52">
        <v>30</v>
      </c>
      <c r="P201" s="54" t="s">
        <v>24</v>
      </c>
      <c r="Q201" s="54"/>
      <c r="R201" s="55">
        <v>4</v>
      </c>
      <c r="S201" s="54">
        <f>17.08*4.5</f>
        <v>76.859999999999985</v>
      </c>
      <c r="T201" s="56">
        <f t="shared" si="26"/>
        <v>2305.7999999999997</v>
      </c>
      <c r="U201" s="52">
        <v>30</v>
      </c>
      <c r="V201" s="52">
        <v>36</v>
      </c>
      <c r="W201" s="52">
        <f>ROUND(AH201*1.2,2)</f>
        <v>36</v>
      </c>
      <c r="X201" s="52">
        <f t="shared" si="28"/>
        <v>1080</v>
      </c>
      <c r="Y201" s="52" t="s">
        <v>822</v>
      </c>
      <c r="Z201" s="52">
        <v>73</v>
      </c>
      <c r="AA201" s="52">
        <f t="shared" si="29"/>
        <v>2190</v>
      </c>
      <c r="AB201" s="52" t="s">
        <v>823</v>
      </c>
      <c r="AC201" s="52"/>
      <c r="AE201" s="57" t="s">
        <v>83</v>
      </c>
      <c r="AF201" s="57">
        <f>16.52*4.4</f>
        <v>72.688000000000002</v>
      </c>
      <c r="AH201" s="57">
        <v>30</v>
      </c>
      <c r="AI201" s="58">
        <v>0</v>
      </c>
      <c r="AK201" s="57">
        <f t="shared" si="33"/>
        <v>900</v>
      </c>
      <c r="AP201" s="57">
        <v>1</v>
      </c>
      <c r="AQ201" s="59">
        <v>0</v>
      </c>
      <c r="AR201" s="59">
        <v>0</v>
      </c>
      <c r="AS201" s="60">
        <v>0</v>
      </c>
    </row>
    <row r="202" spans="2:45" s="57" customFormat="1">
      <c r="B202" s="46" t="s">
        <v>824</v>
      </c>
      <c r="C202" s="64" t="s">
        <v>825</v>
      </c>
      <c r="D202" s="64" t="s">
        <v>47</v>
      </c>
      <c r="E202" s="64" t="s">
        <v>56</v>
      </c>
      <c r="F202" s="64" t="s">
        <v>826</v>
      </c>
      <c r="G202" s="47">
        <v>10</v>
      </c>
      <c r="H202" s="48">
        <f t="shared" si="24"/>
        <v>81.239999999999995</v>
      </c>
      <c r="I202" s="49">
        <f t="shared" si="30"/>
        <v>812.4</v>
      </c>
      <c r="J202" s="50">
        <v>0.23</v>
      </c>
      <c r="K202" s="51">
        <f t="shared" si="25"/>
        <v>186.85199999999998</v>
      </c>
      <c r="L202" s="51">
        <f t="shared" si="27"/>
        <v>999.25199999999995</v>
      </c>
      <c r="M202" s="52"/>
      <c r="N202" s="53" t="s">
        <v>50</v>
      </c>
      <c r="O202" s="52">
        <v>54.16</v>
      </c>
      <c r="P202" s="54" t="s">
        <v>64</v>
      </c>
      <c r="Q202" s="54"/>
      <c r="R202" s="55">
        <v>3</v>
      </c>
      <c r="S202" s="54">
        <v>59</v>
      </c>
      <c r="T202" s="56">
        <f t="shared" si="26"/>
        <v>590</v>
      </c>
      <c r="U202" s="52">
        <v>10</v>
      </c>
      <c r="V202" s="52">
        <v>83.2</v>
      </c>
      <c r="W202" s="52">
        <f t="shared" si="31"/>
        <v>83.2</v>
      </c>
      <c r="X202" s="52">
        <f t="shared" si="28"/>
        <v>832</v>
      </c>
      <c r="Y202" s="52"/>
      <c r="Z202" s="52">
        <v>78</v>
      </c>
      <c r="AA202" s="52">
        <f t="shared" si="29"/>
        <v>780</v>
      </c>
      <c r="AB202" s="52"/>
      <c r="AC202" s="52"/>
      <c r="AE202" s="57" t="s">
        <v>52</v>
      </c>
      <c r="AH202" s="57">
        <v>64</v>
      </c>
      <c r="AI202" s="58">
        <v>7</v>
      </c>
      <c r="AK202" s="57">
        <f t="shared" si="33"/>
        <v>640</v>
      </c>
      <c r="AP202" s="57">
        <v>3</v>
      </c>
      <c r="AQ202" s="59">
        <v>0</v>
      </c>
      <c r="AR202" s="59">
        <v>0</v>
      </c>
      <c r="AS202" s="60">
        <v>0</v>
      </c>
    </row>
    <row r="203" spans="2:45" s="57" customFormat="1">
      <c r="B203" s="46" t="s">
        <v>827</v>
      </c>
      <c r="C203" s="46" t="s">
        <v>828</v>
      </c>
      <c r="D203" s="46" t="s">
        <v>47</v>
      </c>
      <c r="E203" s="46" t="s">
        <v>56</v>
      </c>
      <c r="F203" s="46" t="s">
        <v>829</v>
      </c>
      <c r="G203" s="47">
        <v>5</v>
      </c>
      <c r="H203" s="48">
        <f>ROUND(O203*1.1,2)</f>
        <v>84.43</v>
      </c>
      <c r="I203" s="49">
        <f t="shared" si="30"/>
        <v>422.15000000000003</v>
      </c>
      <c r="J203" s="50">
        <v>0.23</v>
      </c>
      <c r="K203" s="51">
        <f t="shared" ref="K203:K270" si="34">L203-I203</f>
        <v>97.094499999999982</v>
      </c>
      <c r="L203" s="51">
        <f t="shared" si="27"/>
        <v>519.24450000000002</v>
      </c>
      <c r="M203" s="52"/>
      <c r="N203" s="53" t="s">
        <v>50</v>
      </c>
      <c r="O203" s="52">
        <v>76.75</v>
      </c>
      <c r="P203" s="54" t="s">
        <v>64</v>
      </c>
      <c r="Q203" s="54">
        <v>42.56</v>
      </c>
      <c r="R203" s="55">
        <v>3</v>
      </c>
      <c r="S203" s="54">
        <v>46</v>
      </c>
      <c r="T203" s="56">
        <f t="shared" ref="T203:T270" si="35">S203*G203</f>
        <v>230</v>
      </c>
      <c r="U203" s="52">
        <v>20</v>
      </c>
      <c r="V203" s="52">
        <v>59.8</v>
      </c>
      <c r="W203" s="52">
        <f t="shared" si="31"/>
        <v>59.8</v>
      </c>
      <c r="X203" s="52">
        <f t="shared" si="28"/>
        <v>299</v>
      </c>
      <c r="Y203" s="52"/>
      <c r="Z203" s="52">
        <v>46.8</v>
      </c>
      <c r="AA203" s="52">
        <f t="shared" si="29"/>
        <v>234</v>
      </c>
      <c r="AB203" s="52"/>
      <c r="AC203" s="52"/>
      <c r="AE203" s="57" t="s">
        <v>52</v>
      </c>
      <c r="AH203" s="57">
        <v>46</v>
      </c>
      <c r="AI203" s="58">
        <v>13</v>
      </c>
      <c r="AK203" s="57">
        <f t="shared" si="33"/>
        <v>230</v>
      </c>
      <c r="AP203" s="57">
        <v>5</v>
      </c>
      <c r="AQ203" s="59" t="s">
        <v>830</v>
      </c>
      <c r="AR203" s="60">
        <v>239.17749999999998</v>
      </c>
      <c r="AS203" s="60">
        <v>478.35499999999996</v>
      </c>
    </row>
    <row r="204" spans="2:45" s="57" customFormat="1">
      <c r="B204" s="46" t="s">
        <v>831</v>
      </c>
      <c r="C204" s="64" t="s">
        <v>832</v>
      </c>
      <c r="D204" s="64" t="s">
        <v>67</v>
      </c>
      <c r="E204" s="64" t="s">
        <v>68</v>
      </c>
      <c r="F204" s="64" t="s">
        <v>833</v>
      </c>
      <c r="G204" s="47">
        <v>20</v>
      </c>
      <c r="H204" s="48">
        <f>ROUND(O204*1.05,2)</f>
        <v>94.96</v>
      </c>
      <c r="I204" s="49">
        <f t="shared" si="30"/>
        <v>1899.1999999999998</v>
      </c>
      <c r="J204" s="50">
        <v>0.23</v>
      </c>
      <c r="K204" s="51">
        <f t="shared" si="34"/>
        <v>436.8159999999998</v>
      </c>
      <c r="L204" s="51">
        <f t="shared" si="27"/>
        <v>2336.0159999999996</v>
      </c>
      <c r="M204" s="52" t="s">
        <v>237</v>
      </c>
      <c r="N204" s="53" t="s">
        <v>50</v>
      </c>
      <c r="O204" s="52">
        <v>90.44</v>
      </c>
      <c r="P204" s="54" t="s">
        <v>64</v>
      </c>
      <c r="Q204" s="54">
        <f>92.91*2.5</f>
        <v>232.27499999999998</v>
      </c>
      <c r="R204" s="55"/>
      <c r="S204" s="54">
        <v>99</v>
      </c>
      <c r="T204" s="56">
        <f t="shared" si="35"/>
        <v>1980</v>
      </c>
      <c r="U204" s="52">
        <v>4</v>
      </c>
      <c r="V204" s="52">
        <v>93.5</v>
      </c>
      <c r="W204" s="52">
        <f>ROUND(AH204*1.1,2)</f>
        <v>93.5</v>
      </c>
      <c r="X204" s="52">
        <f t="shared" si="28"/>
        <v>1870</v>
      </c>
      <c r="Y204" s="52">
        <v>0.1</v>
      </c>
      <c r="Z204" s="52">
        <v>102.66</v>
      </c>
      <c r="AA204" s="52">
        <f t="shared" si="29"/>
        <v>2053.1999999999998</v>
      </c>
      <c r="AB204" s="52" t="s">
        <v>239</v>
      </c>
      <c r="AC204" s="52"/>
      <c r="AE204" s="57" t="s">
        <v>52</v>
      </c>
      <c r="AH204" s="57">
        <v>85</v>
      </c>
      <c r="AI204" s="58">
        <v>0</v>
      </c>
      <c r="AK204" s="57">
        <f t="shared" si="33"/>
        <v>1700</v>
      </c>
      <c r="AP204" s="57">
        <v>0</v>
      </c>
      <c r="AQ204" s="59">
        <v>0</v>
      </c>
      <c r="AR204" s="59">
        <v>0</v>
      </c>
      <c r="AS204" s="60">
        <v>0</v>
      </c>
    </row>
    <row r="205" spans="2:45" s="57" customFormat="1" ht="22.5">
      <c r="B205" s="46" t="s">
        <v>834</v>
      </c>
      <c r="C205" s="46" t="s">
        <v>835</v>
      </c>
      <c r="D205" s="46" t="s">
        <v>132</v>
      </c>
      <c r="E205" s="46" t="s">
        <v>56</v>
      </c>
      <c r="F205" s="46" t="s">
        <v>836</v>
      </c>
      <c r="G205" s="61">
        <v>2</v>
      </c>
      <c r="H205" s="48">
        <f t="shared" ref="H205:H271" si="36">ROUND(O205*1.5,2)</f>
        <v>78.180000000000007</v>
      </c>
      <c r="I205" s="49">
        <f t="shared" si="30"/>
        <v>156.36000000000001</v>
      </c>
      <c r="J205" s="50">
        <v>0.23</v>
      </c>
      <c r="K205" s="51">
        <f t="shared" si="34"/>
        <v>35.962800000000016</v>
      </c>
      <c r="L205" s="51">
        <f t="shared" si="27"/>
        <v>192.32280000000003</v>
      </c>
      <c r="M205" s="52"/>
      <c r="N205" s="53" t="s">
        <v>114</v>
      </c>
      <c r="O205" s="52">
        <v>52.12</v>
      </c>
      <c r="P205" s="54" t="s">
        <v>24</v>
      </c>
      <c r="Q205" s="54"/>
      <c r="R205" s="55">
        <v>31</v>
      </c>
      <c r="S205" s="54">
        <v>57</v>
      </c>
      <c r="T205" s="56">
        <f t="shared" si="35"/>
        <v>114</v>
      </c>
      <c r="U205" s="52">
        <v>2</v>
      </c>
      <c r="V205" s="52">
        <v>67.760000000000005</v>
      </c>
      <c r="W205" s="52">
        <f t="shared" si="31"/>
        <v>67.760000000000005</v>
      </c>
      <c r="X205" s="52">
        <f t="shared" si="28"/>
        <v>135.52000000000001</v>
      </c>
      <c r="Y205" s="52"/>
      <c r="Z205" s="52">
        <v>58.8</v>
      </c>
      <c r="AA205" s="52">
        <f t="shared" si="29"/>
        <v>117.6</v>
      </c>
      <c r="AB205" s="52"/>
      <c r="AC205" s="52"/>
      <c r="AE205" s="57" t="s">
        <v>115</v>
      </c>
      <c r="AF205" s="57">
        <v>68.59</v>
      </c>
      <c r="AH205" s="57">
        <v>52.12</v>
      </c>
      <c r="AI205" s="58">
        <v>12</v>
      </c>
      <c r="AK205" s="57">
        <f t="shared" si="33"/>
        <v>104.24</v>
      </c>
      <c r="AP205" s="57">
        <v>1</v>
      </c>
      <c r="AQ205" s="59">
        <v>0</v>
      </c>
      <c r="AR205" s="59">
        <v>0</v>
      </c>
      <c r="AS205" s="60">
        <v>0</v>
      </c>
    </row>
    <row r="206" spans="2:45" s="57" customFormat="1" ht="22.5">
      <c r="B206" s="46" t="s">
        <v>837</v>
      </c>
      <c r="C206" s="64" t="s">
        <v>838</v>
      </c>
      <c r="D206" s="64" t="s">
        <v>132</v>
      </c>
      <c r="E206" s="64" t="s">
        <v>56</v>
      </c>
      <c r="F206" s="64" t="s">
        <v>839</v>
      </c>
      <c r="G206" s="47">
        <v>2</v>
      </c>
      <c r="H206" s="65">
        <f t="shared" si="36"/>
        <v>45.68</v>
      </c>
      <c r="I206" s="49">
        <f t="shared" si="30"/>
        <v>91.36</v>
      </c>
      <c r="J206" s="50">
        <v>0.23</v>
      </c>
      <c r="K206" s="51">
        <f t="shared" si="34"/>
        <v>21.012799999999999</v>
      </c>
      <c r="L206" s="51">
        <f t="shared" si="27"/>
        <v>112.3728</v>
      </c>
      <c r="M206" s="52"/>
      <c r="N206" s="53" t="s">
        <v>114</v>
      </c>
      <c r="O206" s="52">
        <v>30.45</v>
      </c>
      <c r="P206" s="54" t="s">
        <v>24</v>
      </c>
      <c r="Q206" s="54"/>
      <c r="R206" s="55">
        <v>1</v>
      </c>
      <c r="S206" s="54">
        <v>33</v>
      </c>
      <c r="T206" s="56">
        <f t="shared" si="35"/>
        <v>66</v>
      </c>
      <c r="U206" s="52">
        <v>2</v>
      </c>
      <c r="V206" s="52">
        <v>39.590000000000003</v>
      </c>
      <c r="W206" s="52">
        <f t="shared" si="31"/>
        <v>39.590000000000003</v>
      </c>
      <c r="X206" s="52">
        <f t="shared" si="28"/>
        <v>79.180000000000007</v>
      </c>
      <c r="Y206" s="52"/>
      <c r="Z206" s="52">
        <v>32.28</v>
      </c>
      <c r="AA206" s="52">
        <f t="shared" si="29"/>
        <v>64.56</v>
      </c>
      <c r="AB206" s="52"/>
      <c r="AC206" s="52"/>
      <c r="AE206" s="57" t="s">
        <v>115</v>
      </c>
      <c r="AF206" s="57">
        <v>40.06</v>
      </c>
      <c r="AH206" s="57">
        <v>30.45</v>
      </c>
      <c r="AI206" s="58">
        <v>0</v>
      </c>
      <c r="AK206" s="57">
        <f t="shared" si="33"/>
        <v>60.9</v>
      </c>
      <c r="AP206" s="57">
        <v>0</v>
      </c>
      <c r="AQ206" s="59">
        <v>0</v>
      </c>
      <c r="AR206" s="59">
        <v>0</v>
      </c>
      <c r="AS206" s="60">
        <v>0</v>
      </c>
    </row>
    <row r="207" spans="2:45" s="57" customFormat="1" ht="22.5">
      <c r="B207" s="46" t="s">
        <v>840</v>
      </c>
      <c r="C207" s="64" t="s">
        <v>841</v>
      </c>
      <c r="D207" s="64" t="s">
        <v>328</v>
      </c>
      <c r="E207" s="64" t="s">
        <v>56</v>
      </c>
      <c r="F207" s="64" t="s">
        <v>842</v>
      </c>
      <c r="G207" s="47">
        <v>12</v>
      </c>
      <c r="H207" s="65">
        <v>59</v>
      </c>
      <c r="I207" s="49">
        <f t="shared" si="30"/>
        <v>708</v>
      </c>
      <c r="J207" s="50">
        <v>0.23</v>
      </c>
      <c r="K207" s="51">
        <f t="shared" si="34"/>
        <v>162.84000000000003</v>
      </c>
      <c r="L207" s="51">
        <f t="shared" si="27"/>
        <v>870.84</v>
      </c>
      <c r="M207" s="52" t="s">
        <v>237</v>
      </c>
      <c r="N207" s="53" t="s">
        <v>114</v>
      </c>
      <c r="O207" s="52">
        <v>97.85</v>
      </c>
      <c r="P207" s="54" t="s">
        <v>24</v>
      </c>
      <c r="Q207" s="54"/>
      <c r="R207" s="55"/>
      <c r="S207" s="54">
        <v>106</v>
      </c>
      <c r="T207" s="56">
        <f t="shared" si="35"/>
        <v>1272</v>
      </c>
      <c r="U207" s="52">
        <v>6</v>
      </c>
      <c r="V207" s="52">
        <v>68.5</v>
      </c>
      <c r="W207" s="52">
        <f>ROUND(AH207*0.7,2)</f>
        <v>68.5</v>
      </c>
      <c r="X207" s="52">
        <f t="shared" si="28"/>
        <v>822</v>
      </c>
      <c r="Y207" s="52" t="s">
        <v>447</v>
      </c>
      <c r="Z207" s="52">
        <v>93</v>
      </c>
      <c r="AA207" s="52">
        <f t="shared" si="29"/>
        <v>1116</v>
      </c>
      <c r="AB207" s="52" t="s">
        <v>239</v>
      </c>
      <c r="AC207" s="52"/>
      <c r="AE207" s="57" t="s">
        <v>115</v>
      </c>
      <c r="AF207" s="57">
        <v>128.75</v>
      </c>
      <c r="AH207" s="57">
        <v>97.85</v>
      </c>
      <c r="AI207" s="58" t="s">
        <v>239</v>
      </c>
      <c r="AJ207" s="57">
        <v>93</v>
      </c>
      <c r="AK207" s="57">
        <f>AJ207*G207</f>
        <v>1116</v>
      </c>
      <c r="AP207" s="57">
        <v>2</v>
      </c>
      <c r="AQ207" s="59" t="s">
        <v>843</v>
      </c>
      <c r="AR207" s="60">
        <v>16.617000000000001</v>
      </c>
      <c r="AS207" s="60">
        <v>83.085000000000008</v>
      </c>
    </row>
    <row r="208" spans="2:45" s="57" customFormat="1">
      <c r="B208" s="46" t="s">
        <v>844</v>
      </c>
      <c r="C208" s="46" t="s">
        <v>845</v>
      </c>
      <c r="D208" s="46" t="s">
        <v>132</v>
      </c>
      <c r="E208" s="46" t="s">
        <v>56</v>
      </c>
      <c r="F208" s="46" t="s">
        <v>846</v>
      </c>
      <c r="G208" s="61">
        <v>4</v>
      </c>
      <c r="H208" s="65">
        <f t="shared" si="36"/>
        <v>195.21</v>
      </c>
      <c r="I208" s="49">
        <f t="shared" si="30"/>
        <v>780.84</v>
      </c>
      <c r="J208" s="50">
        <v>0.23</v>
      </c>
      <c r="K208" s="51">
        <f t="shared" si="34"/>
        <v>179.59320000000002</v>
      </c>
      <c r="L208" s="51">
        <f t="shared" si="27"/>
        <v>960.43320000000006</v>
      </c>
      <c r="M208" s="52"/>
      <c r="N208" s="53" t="s">
        <v>50</v>
      </c>
      <c r="O208" s="52">
        <v>130.13999999999999</v>
      </c>
      <c r="P208" s="54" t="s">
        <v>64</v>
      </c>
      <c r="Q208" s="54">
        <v>122.13</v>
      </c>
      <c r="R208" s="55">
        <v>2</v>
      </c>
      <c r="S208" s="54">
        <v>135</v>
      </c>
      <c r="T208" s="56">
        <f t="shared" si="35"/>
        <v>540</v>
      </c>
      <c r="U208" s="52">
        <v>4</v>
      </c>
      <c r="V208" s="52">
        <v>128.69999999999999</v>
      </c>
      <c r="W208" s="52">
        <f t="shared" si="31"/>
        <v>128.69999999999999</v>
      </c>
      <c r="X208" s="52">
        <f t="shared" si="28"/>
        <v>514.79999999999995</v>
      </c>
      <c r="Y208" s="52"/>
      <c r="Z208" s="52">
        <v>103.13</v>
      </c>
      <c r="AA208" s="52">
        <f t="shared" si="29"/>
        <v>412.52</v>
      </c>
      <c r="AB208" s="52"/>
      <c r="AC208" s="52"/>
      <c r="AE208" s="57" t="s">
        <v>52</v>
      </c>
      <c r="AH208" s="57">
        <v>99</v>
      </c>
      <c r="AI208" s="58">
        <v>3</v>
      </c>
      <c r="AK208" s="57">
        <f>AH208*G208</f>
        <v>396</v>
      </c>
      <c r="AP208" s="57">
        <v>2</v>
      </c>
      <c r="AQ208" s="59" t="s">
        <v>847</v>
      </c>
      <c r="AR208" s="60">
        <v>58</v>
      </c>
      <c r="AS208" s="60">
        <v>116</v>
      </c>
    </row>
    <row r="209" spans="2:45" s="57" customFormat="1" ht="22.5">
      <c r="B209" s="46" t="s">
        <v>848</v>
      </c>
      <c r="C209" s="46" t="s">
        <v>849</v>
      </c>
      <c r="D209" s="46" t="s">
        <v>112</v>
      </c>
      <c r="E209" s="46" t="s">
        <v>56</v>
      </c>
      <c r="F209" s="46" t="s">
        <v>850</v>
      </c>
      <c r="G209" s="61">
        <v>10</v>
      </c>
      <c r="H209" s="48">
        <f t="shared" si="36"/>
        <v>37.590000000000003</v>
      </c>
      <c r="I209" s="49">
        <f t="shared" si="30"/>
        <v>375.90000000000003</v>
      </c>
      <c r="J209" s="50">
        <v>0.23</v>
      </c>
      <c r="K209" s="51">
        <f t="shared" si="34"/>
        <v>86.456999999999994</v>
      </c>
      <c r="L209" s="51">
        <f t="shared" si="27"/>
        <v>462.35700000000003</v>
      </c>
      <c r="M209" s="52"/>
      <c r="N209" s="53" t="s">
        <v>114</v>
      </c>
      <c r="O209" s="52">
        <v>25.06</v>
      </c>
      <c r="P209" s="54" t="s">
        <v>24</v>
      </c>
      <c r="Q209" s="54"/>
      <c r="R209" s="55">
        <v>27</v>
      </c>
      <c r="S209" s="54">
        <v>27</v>
      </c>
      <c r="T209" s="56">
        <f t="shared" si="35"/>
        <v>270</v>
      </c>
      <c r="U209" s="52">
        <v>10</v>
      </c>
      <c r="V209" s="52">
        <v>32.58</v>
      </c>
      <c r="W209" s="52">
        <f t="shared" si="31"/>
        <v>32.58</v>
      </c>
      <c r="X209" s="52">
        <f t="shared" si="28"/>
        <v>325.79999999999995</v>
      </c>
      <c r="Y209" s="52"/>
      <c r="Z209" s="52">
        <v>25.2</v>
      </c>
      <c r="AA209" s="52">
        <f t="shared" si="29"/>
        <v>252</v>
      </c>
      <c r="AB209" s="52"/>
      <c r="AC209" s="52"/>
      <c r="AE209" s="57" t="s">
        <v>115</v>
      </c>
      <c r="AF209" s="57">
        <v>32.979999999999997</v>
      </c>
      <c r="AH209" s="57">
        <v>25.06</v>
      </c>
      <c r="AI209" s="58">
        <v>9</v>
      </c>
      <c r="AJ209" s="57">
        <v>21.5</v>
      </c>
      <c r="AK209" s="57">
        <f>AJ209*G209</f>
        <v>215</v>
      </c>
      <c r="AP209" s="57">
        <v>375</v>
      </c>
      <c r="AQ209" s="59" t="s">
        <v>851</v>
      </c>
      <c r="AR209" s="60">
        <v>11</v>
      </c>
      <c r="AS209" s="60">
        <v>3300</v>
      </c>
    </row>
    <row r="210" spans="2:45" s="57" customFormat="1" ht="22.5">
      <c r="B210" s="46" t="s">
        <v>852</v>
      </c>
      <c r="C210" s="46" t="s">
        <v>853</v>
      </c>
      <c r="D210" s="46" t="s">
        <v>112</v>
      </c>
      <c r="E210" s="46" t="s">
        <v>56</v>
      </c>
      <c r="F210" s="46" t="s">
        <v>854</v>
      </c>
      <c r="G210" s="61">
        <v>5</v>
      </c>
      <c r="H210" s="48">
        <f t="shared" si="36"/>
        <v>35.700000000000003</v>
      </c>
      <c r="I210" s="49">
        <f t="shared" si="30"/>
        <v>178.5</v>
      </c>
      <c r="J210" s="50">
        <v>0.23</v>
      </c>
      <c r="K210" s="51">
        <f t="shared" si="34"/>
        <v>41.055000000000007</v>
      </c>
      <c r="L210" s="51">
        <f t="shared" ref="L210:L277" si="37">I210+I210*J210</f>
        <v>219.55500000000001</v>
      </c>
      <c r="M210" s="52"/>
      <c r="N210" s="53" t="s">
        <v>114</v>
      </c>
      <c r="O210" s="52">
        <v>23.8</v>
      </c>
      <c r="P210" s="54" t="s">
        <v>24</v>
      </c>
      <c r="Q210" s="54"/>
      <c r="R210" s="55">
        <v>1</v>
      </c>
      <c r="S210" s="54">
        <v>26</v>
      </c>
      <c r="T210" s="56">
        <f t="shared" si="35"/>
        <v>130</v>
      </c>
      <c r="U210" s="52">
        <v>5</v>
      </c>
      <c r="V210" s="52">
        <v>30.94</v>
      </c>
      <c r="W210" s="52">
        <f t="shared" si="31"/>
        <v>30.94</v>
      </c>
      <c r="X210" s="52">
        <f t="shared" si="28"/>
        <v>154.70000000000002</v>
      </c>
      <c r="Y210" s="52"/>
      <c r="Z210" s="52">
        <v>21</v>
      </c>
      <c r="AA210" s="52">
        <f t="shared" si="29"/>
        <v>105</v>
      </c>
      <c r="AB210" s="52"/>
      <c r="AC210" s="52"/>
      <c r="AE210" s="57" t="s">
        <v>115</v>
      </c>
      <c r="AF210" s="57">
        <v>31.32</v>
      </c>
      <c r="AH210" s="57">
        <v>23.8</v>
      </c>
      <c r="AI210" s="58">
        <v>1</v>
      </c>
      <c r="AJ210" s="57">
        <v>21</v>
      </c>
      <c r="AK210" s="57">
        <f>AJ210*G210</f>
        <v>105</v>
      </c>
      <c r="AP210" s="57">
        <v>2</v>
      </c>
      <c r="AQ210" s="59">
        <v>0</v>
      </c>
      <c r="AR210" s="59">
        <v>0</v>
      </c>
      <c r="AS210" s="60">
        <v>0</v>
      </c>
    </row>
    <row r="211" spans="2:45" s="57" customFormat="1">
      <c r="B211" s="46" t="s">
        <v>855</v>
      </c>
      <c r="C211" s="46" t="s">
        <v>856</v>
      </c>
      <c r="D211" s="46" t="s">
        <v>599</v>
      </c>
      <c r="E211" s="46" t="s">
        <v>107</v>
      </c>
      <c r="F211" s="46">
        <v>44005</v>
      </c>
      <c r="G211" s="61">
        <v>2</v>
      </c>
      <c r="H211" s="48">
        <f>ROUND(O211*1.2,2)</f>
        <v>623.80999999999995</v>
      </c>
      <c r="I211" s="49">
        <f t="shared" si="30"/>
        <v>1247.6199999999999</v>
      </c>
      <c r="J211" s="50">
        <v>0.23</v>
      </c>
      <c r="K211" s="51">
        <f t="shared" si="34"/>
        <v>286.95260000000007</v>
      </c>
      <c r="L211" s="51">
        <f t="shared" si="37"/>
        <v>1534.5726</v>
      </c>
      <c r="M211" s="52" t="s">
        <v>294</v>
      </c>
      <c r="N211" s="53" t="s">
        <v>91</v>
      </c>
      <c r="O211" s="52">
        <v>519.84</v>
      </c>
      <c r="P211" s="54" t="s">
        <v>92</v>
      </c>
      <c r="Q211" s="54"/>
      <c r="R211" s="55"/>
      <c r="S211" s="54">
        <v>520</v>
      </c>
      <c r="T211" s="56">
        <f t="shared" si="35"/>
        <v>1040</v>
      </c>
      <c r="U211" s="52">
        <v>2</v>
      </c>
      <c r="V211" s="52">
        <v>519.86</v>
      </c>
      <c r="W211" s="52">
        <f>ROUND(AH211*1.2,2)</f>
        <v>519.86</v>
      </c>
      <c r="X211" s="52">
        <f t="shared" ref="X211:X282" si="38">W211*G211</f>
        <v>1039.72</v>
      </c>
      <c r="Y211" s="52"/>
      <c r="Z211" s="52">
        <v>450</v>
      </c>
      <c r="AA211" s="52">
        <f t="shared" ref="AA211:AA282" si="39">Z211*G211</f>
        <v>900</v>
      </c>
      <c r="AB211" s="52"/>
      <c r="AC211" s="52"/>
      <c r="AE211" s="57" t="s">
        <v>93</v>
      </c>
      <c r="AF211" s="57">
        <v>509.67</v>
      </c>
      <c r="AG211" s="62">
        <v>0.15</v>
      </c>
      <c r="AH211" s="57">
        <v>433.22</v>
      </c>
      <c r="AI211" s="58"/>
      <c r="AK211" s="57">
        <f>AH211*G211</f>
        <v>866.44</v>
      </c>
      <c r="AP211" s="57">
        <v>53</v>
      </c>
      <c r="AQ211" s="59" t="s">
        <v>857</v>
      </c>
      <c r="AR211" s="60">
        <v>29</v>
      </c>
      <c r="AS211" s="60">
        <v>580</v>
      </c>
    </row>
    <row r="212" spans="2:45" s="57" customFormat="1">
      <c r="B212" s="46" t="s">
        <v>858</v>
      </c>
      <c r="C212" s="46" t="s">
        <v>856</v>
      </c>
      <c r="D212" s="46" t="s">
        <v>859</v>
      </c>
      <c r="E212" s="46" t="s">
        <v>107</v>
      </c>
      <c r="F212" s="46">
        <v>44003</v>
      </c>
      <c r="G212" s="61">
        <v>2</v>
      </c>
      <c r="H212" s="48">
        <f>ROUND(O212*1.2,2)</f>
        <v>334.2</v>
      </c>
      <c r="I212" s="49">
        <f t="shared" ref="I212:I283" si="40">H212*G212</f>
        <v>668.4</v>
      </c>
      <c r="J212" s="50">
        <v>0.23</v>
      </c>
      <c r="K212" s="51">
        <f t="shared" si="34"/>
        <v>153.73199999999997</v>
      </c>
      <c r="L212" s="51">
        <f t="shared" si="37"/>
        <v>822.13199999999995</v>
      </c>
      <c r="M212" s="52" t="s">
        <v>294</v>
      </c>
      <c r="N212" s="53" t="s">
        <v>91</v>
      </c>
      <c r="O212" s="52">
        <v>278.5</v>
      </c>
      <c r="P212" s="54" t="s">
        <v>92</v>
      </c>
      <c r="Q212" s="54"/>
      <c r="R212" s="55">
        <v>1</v>
      </c>
      <c r="S212" s="54">
        <v>280</v>
      </c>
      <c r="T212" s="56">
        <f t="shared" si="35"/>
        <v>560</v>
      </c>
      <c r="U212" s="52">
        <v>2</v>
      </c>
      <c r="V212" s="52">
        <v>278.5</v>
      </c>
      <c r="W212" s="52">
        <f>ROUND(AH212*1.2,2)</f>
        <v>278.5</v>
      </c>
      <c r="X212" s="52">
        <f t="shared" si="38"/>
        <v>557</v>
      </c>
      <c r="Y212" s="52">
        <v>0.2</v>
      </c>
      <c r="Z212" s="52">
        <v>240</v>
      </c>
      <c r="AA212" s="52">
        <f t="shared" si="39"/>
        <v>480</v>
      </c>
      <c r="AB212" s="52"/>
      <c r="AC212" s="52"/>
      <c r="AE212" s="57" t="s">
        <v>93</v>
      </c>
      <c r="AF212" s="57">
        <v>273.02999999999997</v>
      </c>
      <c r="AG212" s="62">
        <v>0.15</v>
      </c>
      <c r="AH212" s="57">
        <v>232.08</v>
      </c>
      <c r="AI212" s="58"/>
      <c r="AK212" s="57">
        <f>AH212*G212</f>
        <v>464.16</v>
      </c>
      <c r="AP212" s="57">
        <v>0</v>
      </c>
      <c r="AQ212" s="59" t="s">
        <v>860</v>
      </c>
      <c r="AR212" s="60">
        <v>64</v>
      </c>
      <c r="AS212" s="60">
        <v>192</v>
      </c>
    </row>
    <row r="213" spans="2:45" s="57" customFormat="1">
      <c r="B213" s="46" t="s">
        <v>861</v>
      </c>
      <c r="C213" s="46" t="s">
        <v>862</v>
      </c>
      <c r="D213" s="46" t="s">
        <v>106</v>
      </c>
      <c r="E213" s="46" t="s">
        <v>107</v>
      </c>
      <c r="F213" s="46" t="s">
        <v>863</v>
      </c>
      <c r="G213" s="61">
        <v>1</v>
      </c>
      <c r="H213" s="48">
        <f>ROUND(O213*1.2,2)</f>
        <v>154.01</v>
      </c>
      <c r="I213" s="71">
        <f t="shared" si="40"/>
        <v>154.01</v>
      </c>
      <c r="J213" s="86">
        <v>0.23</v>
      </c>
      <c r="K213" s="87">
        <f t="shared" si="34"/>
        <v>35.422300000000007</v>
      </c>
      <c r="L213" s="87">
        <f t="shared" si="37"/>
        <v>189.4323</v>
      </c>
      <c r="M213" s="52"/>
      <c r="N213" s="53" t="s">
        <v>864</v>
      </c>
      <c r="O213" s="52">
        <v>128.34</v>
      </c>
      <c r="P213" s="54" t="s">
        <v>865</v>
      </c>
      <c r="Q213" s="54"/>
      <c r="R213" s="55"/>
      <c r="S213" s="54">
        <v>130</v>
      </c>
      <c r="T213" s="56">
        <f t="shared" si="35"/>
        <v>130</v>
      </c>
      <c r="U213" s="52"/>
      <c r="V213" s="52"/>
      <c r="W213" s="52"/>
      <c r="X213" s="52"/>
      <c r="Y213" s="52"/>
      <c r="Z213" s="52"/>
      <c r="AA213" s="52"/>
      <c r="AB213" s="52"/>
      <c r="AC213" s="52"/>
      <c r="AG213" s="62"/>
      <c r="AI213" s="58"/>
      <c r="AQ213" s="59"/>
      <c r="AR213" s="60"/>
      <c r="AS213" s="60"/>
    </row>
    <row r="214" spans="2:45" s="57" customFormat="1">
      <c r="B214" s="46" t="s">
        <v>866</v>
      </c>
      <c r="C214" s="46" t="s">
        <v>867</v>
      </c>
      <c r="D214" s="66" t="s">
        <v>793</v>
      </c>
      <c r="E214" s="46" t="s">
        <v>107</v>
      </c>
      <c r="F214" s="46" t="s">
        <v>868</v>
      </c>
      <c r="G214" s="67">
        <v>1</v>
      </c>
      <c r="H214" s="48">
        <f>ROUND(O214*1.2,2)</f>
        <v>79.09</v>
      </c>
      <c r="I214" s="49">
        <f t="shared" si="40"/>
        <v>79.09</v>
      </c>
      <c r="J214" s="50">
        <v>0.23</v>
      </c>
      <c r="K214" s="51">
        <f t="shared" si="34"/>
        <v>18.190700000000007</v>
      </c>
      <c r="L214" s="51">
        <f t="shared" si="37"/>
        <v>97.28070000000001</v>
      </c>
      <c r="M214" s="52"/>
      <c r="N214" s="53" t="s">
        <v>91</v>
      </c>
      <c r="O214" s="52">
        <v>65.91</v>
      </c>
      <c r="P214" s="54" t="s">
        <v>92</v>
      </c>
      <c r="Q214" s="54"/>
      <c r="R214" s="55"/>
      <c r="S214" s="54">
        <v>67</v>
      </c>
      <c r="T214" s="56">
        <f t="shared" si="35"/>
        <v>67</v>
      </c>
      <c r="U214" s="52">
        <v>1</v>
      </c>
      <c r="V214" s="52">
        <v>74.72</v>
      </c>
      <c r="W214" s="52">
        <f t="shared" ref="W214:W283" si="41">ROUND(AH214*1.3,2)</f>
        <v>74.72</v>
      </c>
      <c r="X214" s="52">
        <f t="shared" si="38"/>
        <v>74.72</v>
      </c>
      <c r="Y214" s="52">
        <v>0.2</v>
      </c>
      <c r="Z214" s="52">
        <v>67.28</v>
      </c>
      <c r="AA214" s="52">
        <f t="shared" si="39"/>
        <v>67.28</v>
      </c>
      <c r="AB214" s="52"/>
      <c r="AC214" s="52"/>
      <c r="AE214" s="57" t="s">
        <v>93</v>
      </c>
      <c r="AF214" s="57">
        <v>67.62</v>
      </c>
      <c r="AG214" s="62">
        <v>0.15</v>
      </c>
      <c r="AH214" s="57">
        <v>57.48</v>
      </c>
      <c r="AI214" s="58">
        <v>0</v>
      </c>
      <c r="AK214" s="57">
        <f>AH214*G214</f>
        <v>57.48</v>
      </c>
      <c r="AP214" s="57">
        <v>7</v>
      </c>
      <c r="AQ214" s="59" t="s">
        <v>869</v>
      </c>
      <c r="AR214" s="60">
        <v>46</v>
      </c>
      <c r="AS214" s="60">
        <v>644</v>
      </c>
    </row>
    <row r="215" spans="2:45" s="57" customFormat="1" ht="22.5">
      <c r="B215" s="46" t="s">
        <v>870</v>
      </c>
      <c r="C215" s="46" t="s">
        <v>871</v>
      </c>
      <c r="D215" s="46" t="s">
        <v>872</v>
      </c>
      <c r="E215" s="46" t="s">
        <v>56</v>
      </c>
      <c r="F215" s="46" t="s">
        <v>873</v>
      </c>
      <c r="G215" s="61">
        <v>3</v>
      </c>
      <c r="H215" s="48">
        <f t="shared" si="36"/>
        <v>149.63</v>
      </c>
      <c r="I215" s="49">
        <f t="shared" si="40"/>
        <v>448.89</v>
      </c>
      <c r="J215" s="50">
        <v>0.23</v>
      </c>
      <c r="K215" s="51">
        <f t="shared" si="34"/>
        <v>103.24469999999997</v>
      </c>
      <c r="L215" s="51">
        <f t="shared" si="37"/>
        <v>552.13469999999995</v>
      </c>
      <c r="M215" s="52"/>
      <c r="N215" s="53" t="s">
        <v>50</v>
      </c>
      <c r="O215" s="52">
        <v>99.75</v>
      </c>
      <c r="P215" s="54" t="s">
        <v>64</v>
      </c>
      <c r="Q215" s="54"/>
      <c r="R215" s="55"/>
      <c r="S215" s="54">
        <v>110</v>
      </c>
      <c r="T215" s="56">
        <f t="shared" si="35"/>
        <v>330</v>
      </c>
      <c r="U215" s="52">
        <v>3</v>
      </c>
      <c r="V215" s="52">
        <v>108.15</v>
      </c>
      <c r="W215" s="52">
        <f t="shared" si="41"/>
        <v>108.15</v>
      </c>
      <c r="X215" s="52">
        <f t="shared" si="38"/>
        <v>324.45000000000005</v>
      </c>
      <c r="Y215" s="52"/>
      <c r="Z215" s="52">
        <v>83.2</v>
      </c>
      <c r="AA215" s="52">
        <f t="shared" si="39"/>
        <v>249.60000000000002</v>
      </c>
      <c r="AB215" s="52"/>
      <c r="AC215" s="52"/>
      <c r="AE215" s="57" t="s">
        <v>52</v>
      </c>
      <c r="AH215" s="57">
        <v>83.19</v>
      </c>
      <c r="AI215" s="58">
        <v>1</v>
      </c>
      <c r="AK215" s="57">
        <f>AH215*G215</f>
        <v>249.57</v>
      </c>
      <c r="AP215" s="57">
        <v>13</v>
      </c>
      <c r="AQ215" s="59" t="s">
        <v>874</v>
      </c>
      <c r="AR215" s="60">
        <v>85</v>
      </c>
      <c r="AS215" s="60">
        <v>1020</v>
      </c>
    </row>
    <row r="216" spans="2:45" s="57" customFormat="1">
      <c r="B216" s="46" t="s">
        <v>875</v>
      </c>
      <c r="C216" s="46" t="s">
        <v>876</v>
      </c>
      <c r="D216" s="46" t="s">
        <v>291</v>
      </c>
      <c r="E216" s="46" t="s">
        <v>68</v>
      </c>
      <c r="F216" s="46" t="s">
        <v>877</v>
      </c>
      <c r="G216" s="61">
        <v>12</v>
      </c>
      <c r="H216" s="48">
        <f>ROUND(O216*1.05,2)</f>
        <v>72.599999999999994</v>
      </c>
      <c r="I216" s="49">
        <f t="shared" si="40"/>
        <v>871.19999999999993</v>
      </c>
      <c r="J216" s="50">
        <v>0.23</v>
      </c>
      <c r="K216" s="51">
        <f t="shared" si="34"/>
        <v>200.37600000000009</v>
      </c>
      <c r="L216" s="51">
        <f t="shared" si="37"/>
        <v>1071.576</v>
      </c>
      <c r="M216" s="52" t="s">
        <v>221</v>
      </c>
      <c r="N216" s="53" t="s">
        <v>50</v>
      </c>
      <c r="O216" s="52">
        <v>69.14</v>
      </c>
      <c r="P216" s="54" t="s">
        <v>64</v>
      </c>
      <c r="Q216" s="54"/>
      <c r="R216" s="55"/>
      <c r="S216" s="54">
        <v>77</v>
      </c>
      <c r="T216" s="56">
        <f t="shared" si="35"/>
        <v>924</v>
      </c>
      <c r="U216" s="52"/>
      <c r="V216" s="52"/>
      <c r="W216" s="52"/>
      <c r="X216" s="52"/>
      <c r="Y216" s="52"/>
      <c r="Z216" s="52"/>
      <c r="AA216" s="52"/>
      <c r="AB216" s="52"/>
      <c r="AC216" s="52"/>
      <c r="AI216" s="58"/>
      <c r="AQ216" s="59"/>
      <c r="AR216" s="60"/>
      <c r="AS216" s="60"/>
    </row>
    <row r="217" spans="2:45" s="57" customFormat="1">
      <c r="B217" s="46" t="s">
        <v>878</v>
      </c>
      <c r="C217" s="46" t="s">
        <v>879</v>
      </c>
      <c r="D217" s="46" t="s">
        <v>47</v>
      </c>
      <c r="E217" s="46" t="s">
        <v>56</v>
      </c>
      <c r="F217" s="46" t="s">
        <v>880</v>
      </c>
      <c r="G217" s="61">
        <v>5</v>
      </c>
      <c r="H217" s="48">
        <f t="shared" si="36"/>
        <v>72.239999999999995</v>
      </c>
      <c r="I217" s="49">
        <f t="shared" si="40"/>
        <v>361.2</v>
      </c>
      <c r="J217" s="50">
        <v>0.23</v>
      </c>
      <c r="K217" s="51">
        <f t="shared" si="34"/>
        <v>83.076000000000022</v>
      </c>
      <c r="L217" s="51">
        <f t="shared" si="37"/>
        <v>444.27600000000001</v>
      </c>
      <c r="M217" s="52"/>
      <c r="N217" s="53" t="s">
        <v>50</v>
      </c>
      <c r="O217" s="52">
        <v>48.16</v>
      </c>
      <c r="P217" s="54" t="s">
        <v>64</v>
      </c>
      <c r="Q217" s="54">
        <v>41.46</v>
      </c>
      <c r="R217" s="55">
        <v>4</v>
      </c>
      <c r="S217" s="54">
        <v>45</v>
      </c>
      <c r="T217" s="56">
        <f t="shared" si="35"/>
        <v>225</v>
      </c>
      <c r="U217" s="52">
        <v>5</v>
      </c>
      <c r="V217" s="52">
        <v>52.22</v>
      </c>
      <c r="W217" s="52">
        <f t="shared" si="41"/>
        <v>52.22</v>
      </c>
      <c r="X217" s="52">
        <f t="shared" si="38"/>
        <v>261.10000000000002</v>
      </c>
      <c r="Y217" s="52"/>
      <c r="Z217" s="52">
        <v>38.340000000000003</v>
      </c>
      <c r="AA217" s="52">
        <f t="shared" si="39"/>
        <v>191.70000000000002</v>
      </c>
      <c r="AB217" s="52"/>
      <c r="AC217" s="52"/>
      <c r="AE217" s="57" t="s">
        <v>52</v>
      </c>
      <c r="AH217" s="57">
        <v>40.17</v>
      </c>
      <c r="AI217" s="58">
        <v>5</v>
      </c>
      <c r="AK217" s="57">
        <f>AH217*G217</f>
        <v>200.85000000000002</v>
      </c>
      <c r="AP217" s="57">
        <v>0</v>
      </c>
      <c r="AQ217" s="59">
        <v>0</v>
      </c>
      <c r="AR217" s="59">
        <v>0</v>
      </c>
      <c r="AS217" s="60">
        <v>0</v>
      </c>
    </row>
    <row r="218" spans="2:45" s="57" customFormat="1" ht="22.5">
      <c r="B218" s="46" t="s">
        <v>881</v>
      </c>
      <c r="C218" s="46" t="s">
        <v>882</v>
      </c>
      <c r="D218" s="46" t="s">
        <v>47</v>
      </c>
      <c r="E218" s="46" t="s">
        <v>107</v>
      </c>
      <c r="F218" s="46" t="s">
        <v>883</v>
      </c>
      <c r="G218" s="61">
        <v>5</v>
      </c>
      <c r="H218" s="48">
        <f t="shared" si="36"/>
        <v>125.45</v>
      </c>
      <c r="I218" s="49">
        <f t="shared" si="40"/>
        <v>627.25</v>
      </c>
      <c r="J218" s="50">
        <v>0.23</v>
      </c>
      <c r="K218" s="51">
        <f t="shared" si="34"/>
        <v>144.26750000000004</v>
      </c>
      <c r="L218" s="51">
        <f t="shared" si="37"/>
        <v>771.51750000000004</v>
      </c>
      <c r="M218" s="52"/>
      <c r="N218" s="53" t="s">
        <v>114</v>
      </c>
      <c r="O218" s="52">
        <v>83.63</v>
      </c>
      <c r="P218" s="54" t="s">
        <v>24</v>
      </c>
      <c r="Q218" s="54"/>
      <c r="R218" s="55">
        <v>7</v>
      </c>
      <c r="S218" s="54">
        <v>90</v>
      </c>
      <c r="T218" s="56">
        <f t="shared" si="35"/>
        <v>450</v>
      </c>
      <c r="U218" s="52">
        <v>5</v>
      </c>
      <c r="V218" s="52">
        <v>108.72</v>
      </c>
      <c r="W218" s="52">
        <f t="shared" si="41"/>
        <v>108.72</v>
      </c>
      <c r="X218" s="52">
        <f t="shared" si="38"/>
        <v>543.6</v>
      </c>
      <c r="Y218" s="52"/>
      <c r="Z218" s="52">
        <v>132</v>
      </c>
      <c r="AA218" s="52">
        <f t="shared" si="39"/>
        <v>660</v>
      </c>
      <c r="AB218" s="52"/>
      <c r="AC218" s="52"/>
      <c r="AE218" s="57" t="s">
        <v>115</v>
      </c>
      <c r="AF218" s="57">
        <v>110.04</v>
      </c>
      <c r="AH218" s="57">
        <v>83.63</v>
      </c>
      <c r="AI218" s="58">
        <v>5</v>
      </c>
      <c r="AJ218" s="57">
        <v>80</v>
      </c>
      <c r="AK218" s="57">
        <f>AJ218*G218</f>
        <v>400</v>
      </c>
      <c r="AP218" s="57">
        <v>12</v>
      </c>
      <c r="AQ218" s="59">
        <v>0</v>
      </c>
      <c r="AR218" s="59">
        <v>0</v>
      </c>
      <c r="AS218" s="60">
        <v>0</v>
      </c>
    </row>
    <row r="219" spans="2:45" s="57" customFormat="1" ht="22.5">
      <c r="B219" s="46" t="s">
        <v>884</v>
      </c>
      <c r="C219" s="46" t="s">
        <v>885</v>
      </c>
      <c r="D219" s="46" t="s">
        <v>47</v>
      </c>
      <c r="E219" s="46" t="s">
        <v>107</v>
      </c>
      <c r="F219" s="46" t="s">
        <v>886</v>
      </c>
      <c r="G219" s="61">
        <v>4</v>
      </c>
      <c r="H219" s="48">
        <f t="shared" si="36"/>
        <v>322.73</v>
      </c>
      <c r="I219" s="49">
        <f t="shared" si="40"/>
        <v>1290.92</v>
      </c>
      <c r="J219" s="50">
        <v>0.23</v>
      </c>
      <c r="K219" s="51">
        <f t="shared" si="34"/>
        <v>296.91159999999991</v>
      </c>
      <c r="L219" s="51">
        <f t="shared" si="37"/>
        <v>1587.8316</v>
      </c>
      <c r="M219" s="52"/>
      <c r="N219" s="53" t="s">
        <v>50</v>
      </c>
      <c r="O219" s="52">
        <v>215.15</v>
      </c>
      <c r="P219" s="54" t="s">
        <v>24</v>
      </c>
      <c r="Q219" s="54"/>
      <c r="R219" s="55">
        <v>4</v>
      </c>
      <c r="S219" s="54">
        <v>230</v>
      </c>
      <c r="T219" s="56">
        <f t="shared" si="35"/>
        <v>920</v>
      </c>
      <c r="U219" s="52">
        <v>4</v>
      </c>
      <c r="V219" s="52">
        <v>279.7</v>
      </c>
      <c r="W219" s="52">
        <f t="shared" si="41"/>
        <v>279.7</v>
      </c>
      <c r="X219" s="52">
        <f t="shared" si="38"/>
        <v>1118.8</v>
      </c>
      <c r="Y219" s="52"/>
      <c r="Z219" s="52">
        <v>258.18</v>
      </c>
      <c r="AA219" s="52">
        <f t="shared" si="39"/>
        <v>1032.72</v>
      </c>
      <c r="AB219" s="52"/>
      <c r="AC219" s="52"/>
      <c r="AE219" s="57" t="s">
        <v>115</v>
      </c>
      <c r="AF219" s="57">
        <v>238.09</v>
      </c>
      <c r="AH219" s="57">
        <v>215.15</v>
      </c>
      <c r="AI219" s="58">
        <v>4</v>
      </c>
      <c r="AJ219" s="57">
        <v>208</v>
      </c>
      <c r="AK219" s="57">
        <f>AJ219*G219</f>
        <v>832</v>
      </c>
      <c r="AP219" s="57">
        <v>0</v>
      </c>
      <c r="AQ219" s="59">
        <v>0</v>
      </c>
      <c r="AR219" s="59">
        <v>0</v>
      </c>
      <c r="AS219" s="60">
        <v>0</v>
      </c>
    </row>
    <row r="220" spans="2:45" s="57" customFormat="1">
      <c r="B220" s="46" t="s">
        <v>887</v>
      </c>
      <c r="C220" s="64" t="s">
        <v>888</v>
      </c>
      <c r="D220" s="64" t="s">
        <v>636</v>
      </c>
      <c r="E220" s="64" t="s">
        <v>107</v>
      </c>
      <c r="F220" s="64" t="s">
        <v>889</v>
      </c>
      <c r="G220" s="47">
        <v>2</v>
      </c>
      <c r="H220" s="65">
        <f t="shared" si="36"/>
        <v>102.39</v>
      </c>
      <c r="I220" s="49">
        <f t="shared" si="40"/>
        <v>204.78</v>
      </c>
      <c r="J220" s="50">
        <v>0.23</v>
      </c>
      <c r="K220" s="51">
        <f t="shared" si="34"/>
        <v>47.099400000000003</v>
      </c>
      <c r="L220" s="51">
        <f t="shared" si="37"/>
        <v>251.8794</v>
      </c>
      <c r="M220" s="52"/>
      <c r="N220" s="53" t="s">
        <v>50</v>
      </c>
      <c r="O220" s="52">
        <v>68.260000000000005</v>
      </c>
      <c r="P220" s="54" t="s">
        <v>64</v>
      </c>
      <c r="Q220" s="54"/>
      <c r="R220" s="55">
        <v>1</v>
      </c>
      <c r="S220" s="54">
        <v>75</v>
      </c>
      <c r="T220" s="56">
        <f t="shared" si="35"/>
        <v>150</v>
      </c>
      <c r="U220" s="52">
        <v>2</v>
      </c>
      <c r="V220" s="52">
        <v>110.32</v>
      </c>
      <c r="W220" s="52">
        <f t="shared" si="41"/>
        <v>110.32</v>
      </c>
      <c r="X220" s="52">
        <f t="shared" si="38"/>
        <v>220.64</v>
      </c>
      <c r="Y220" s="52"/>
      <c r="Z220" s="52">
        <v>76.44</v>
      </c>
      <c r="AA220" s="52">
        <f t="shared" si="39"/>
        <v>152.88</v>
      </c>
      <c r="AB220" s="52"/>
      <c r="AC220" s="52"/>
      <c r="AE220" s="57" t="s">
        <v>52</v>
      </c>
      <c r="AH220" s="57">
        <v>84.86</v>
      </c>
      <c r="AI220" s="58">
        <v>0</v>
      </c>
      <c r="AK220" s="57">
        <f t="shared" ref="AK220:AK234" si="42">AH220*G220</f>
        <v>169.72</v>
      </c>
      <c r="AP220" s="57">
        <v>3</v>
      </c>
      <c r="AQ220" s="59" t="s">
        <v>890</v>
      </c>
      <c r="AR220" s="60">
        <v>99</v>
      </c>
      <c r="AS220" s="60">
        <v>396</v>
      </c>
    </row>
    <row r="221" spans="2:45" s="57" customFormat="1" ht="22.5">
      <c r="B221" s="46" t="s">
        <v>891</v>
      </c>
      <c r="C221" s="46" t="s">
        <v>892</v>
      </c>
      <c r="D221" s="46" t="s">
        <v>762</v>
      </c>
      <c r="E221" s="46" t="s">
        <v>249</v>
      </c>
      <c r="F221" s="46" t="s">
        <v>893</v>
      </c>
      <c r="G221" s="61">
        <v>3</v>
      </c>
      <c r="H221" s="48">
        <f t="shared" si="36"/>
        <v>6.74</v>
      </c>
      <c r="I221" s="49">
        <f t="shared" si="40"/>
        <v>20.22</v>
      </c>
      <c r="J221" s="50">
        <v>0.23</v>
      </c>
      <c r="K221" s="51">
        <f t="shared" si="34"/>
        <v>4.6506000000000007</v>
      </c>
      <c r="L221" s="51">
        <f t="shared" si="37"/>
        <v>24.8706</v>
      </c>
      <c r="M221" s="52"/>
      <c r="N221" s="53" t="s">
        <v>114</v>
      </c>
      <c r="O221" s="52">
        <v>4.49</v>
      </c>
      <c r="P221" s="54" t="s">
        <v>24</v>
      </c>
      <c r="Q221" s="54"/>
      <c r="R221" s="55">
        <v>1</v>
      </c>
      <c r="S221" s="54">
        <v>5</v>
      </c>
      <c r="T221" s="56">
        <f t="shared" si="35"/>
        <v>15</v>
      </c>
      <c r="U221" s="52">
        <v>3</v>
      </c>
      <c r="V221" s="52">
        <v>5.84</v>
      </c>
      <c r="W221" s="52">
        <f t="shared" si="41"/>
        <v>5.84</v>
      </c>
      <c r="X221" s="52">
        <f t="shared" si="38"/>
        <v>17.52</v>
      </c>
      <c r="Y221" s="52"/>
      <c r="Z221" s="52">
        <v>5</v>
      </c>
      <c r="AA221" s="52">
        <f t="shared" si="39"/>
        <v>15</v>
      </c>
      <c r="AB221" s="52"/>
      <c r="AC221" s="52"/>
      <c r="AE221" s="57" t="s">
        <v>115</v>
      </c>
      <c r="AF221" s="57">
        <v>5.9</v>
      </c>
      <c r="AH221" s="57">
        <v>4.49</v>
      </c>
      <c r="AI221" s="58">
        <v>0</v>
      </c>
      <c r="AK221" s="57">
        <f t="shared" si="42"/>
        <v>13.47</v>
      </c>
      <c r="AP221" s="57">
        <v>9</v>
      </c>
      <c r="AQ221" s="59">
        <v>0</v>
      </c>
      <c r="AR221" s="59">
        <v>0</v>
      </c>
      <c r="AS221" s="60">
        <v>0</v>
      </c>
    </row>
    <row r="222" spans="2:45" s="57" customFormat="1">
      <c r="B222" s="46" t="s">
        <v>894</v>
      </c>
      <c r="C222" s="46" t="s">
        <v>895</v>
      </c>
      <c r="D222" s="46" t="s">
        <v>112</v>
      </c>
      <c r="E222" s="46" t="s">
        <v>107</v>
      </c>
      <c r="F222" s="46" t="s">
        <v>896</v>
      </c>
      <c r="G222" s="47">
        <v>2</v>
      </c>
      <c r="H222" s="48">
        <f t="shared" si="36"/>
        <v>41.18</v>
      </c>
      <c r="I222" s="49">
        <f t="shared" si="40"/>
        <v>82.36</v>
      </c>
      <c r="J222" s="50">
        <v>0.23</v>
      </c>
      <c r="K222" s="51">
        <f t="shared" si="34"/>
        <v>18.942800000000005</v>
      </c>
      <c r="L222" s="51">
        <f t="shared" si="37"/>
        <v>101.3028</v>
      </c>
      <c r="M222" s="52"/>
      <c r="N222" s="53" t="s">
        <v>50</v>
      </c>
      <c r="O222" s="52">
        <v>27.45</v>
      </c>
      <c r="P222" s="54" t="s">
        <v>64</v>
      </c>
      <c r="Q222" s="54">
        <v>29.5</v>
      </c>
      <c r="R222" s="55"/>
      <c r="S222" s="54">
        <v>30</v>
      </c>
      <c r="T222" s="56">
        <f t="shared" si="35"/>
        <v>60</v>
      </c>
      <c r="U222" s="52">
        <v>8</v>
      </c>
      <c r="V222" s="52">
        <v>38.159999999999997</v>
      </c>
      <c r="W222" s="52">
        <f t="shared" si="41"/>
        <v>38.159999999999997</v>
      </c>
      <c r="X222" s="52">
        <f t="shared" si="38"/>
        <v>76.319999999999993</v>
      </c>
      <c r="Y222" s="52"/>
      <c r="Z222" s="52">
        <v>25.22</v>
      </c>
      <c r="AA222" s="52">
        <f t="shared" si="39"/>
        <v>50.44</v>
      </c>
      <c r="AB222" s="52"/>
      <c r="AC222" s="52"/>
      <c r="AE222" s="57" t="s">
        <v>52</v>
      </c>
      <c r="AH222" s="57">
        <v>29.35</v>
      </c>
      <c r="AI222" s="58">
        <v>5</v>
      </c>
      <c r="AK222" s="57">
        <f t="shared" si="42"/>
        <v>58.7</v>
      </c>
      <c r="AP222" s="57">
        <v>1</v>
      </c>
      <c r="AQ222" s="59">
        <v>0</v>
      </c>
      <c r="AR222" s="59">
        <v>0</v>
      </c>
      <c r="AS222" s="60">
        <v>0</v>
      </c>
    </row>
    <row r="223" spans="2:45" s="57" customFormat="1">
      <c r="B223" s="46" t="s">
        <v>897</v>
      </c>
      <c r="C223" s="46" t="s">
        <v>898</v>
      </c>
      <c r="D223" s="46" t="s">
        <v>899</v>
      </c>
      <c r="E223" s="46" t="s">
        <v>107</v>
      </c>
      <c r="F223" s="46" t="s">
        <v>900</v>
      </c>
      <c r="G223" s="61">
        <v>5</v>
      </c>
      <c r="H223" s="48">
        <f>ROUND(O223*1.2,2)</f>
        <v>38.299999999999997</v>
      </c>
      <c r="I223" s="49">
        <f t="shared" si="40"/>
        <v>191.5</v>
      </c>
      <c r="J223" s="50">
        <v>0.23</v>
      </c>
      <c r="K223" s="51">
        <f t="shared" si="34"/>
        <v>44.045000000000016</v>
      </c>
      <c r="L223" s="51">
        <f t="shared" si="37"/>
        <v>235.54500000000002</v>
      </c>
      <c r="M223" s="52" t="s">
        <v>294</v>
      </c>
      <c r="N223" s="53" t="s">
        <v>91</v>
      </c>
      <c r="O223" s="52">
        <v>31.92</v>
      </c>
      <c r="P223" s="54" t="s">
        <v>92</v>
      </c>
      <c r="Q223" s="54"/>
      <c r="R223" s="55">
        <v>3</v>
      </c>
      <c r="S223" s="54">
        <v>32</v>
      </c>
      <c r="T223" s="56">
        <f t="shared" si="35"/>
        <v>160</v>
      </c>
      <c r="U223" s="52">
        <v>5</v>
      </c>
      <c r="V223" s="52">
        <v>51.05</v>
      </c>
      <c r="W223" s="52">
        <f t="shared" si="41"/>
        <v>51.05</v>
      </c>
      <c r="X223" s="52">
        <f t="shared" si="38"/>
        <v>255.25</v>
      </c>
      <c r="Y223" s="52"/>
      <c r="Z223" s="52">
        <v>40</v>
      </c>
      <c r="AA223" s="52">
        <f t="shared" si="39"/>
        <v>200</v>
      </c>
      <c r="AB223" s="52"/>
      <c r="AC223" s="52"/>
      <c r="AE223" s="57" t="s">
        <v>93</v>
      </c>
      <c r="AF223" s="57">
        <v>46.2</v>
      </c>
      <c r="AG223" s="62">
        <v>0.15</v>
      </c>
      <c r="AH223" s="57">
        <v>39.270000000000003</v>
      </c>
      <c r="AI223" s="58"/>
      <c r="AK223" s="57">
        <f t="shared" si="42"/>
        <v>196.35000000000002</v>
      </c>
      <c r="AP223" s="57">
        <v>0</v>
      </c>
      <c r="AQ223" s="59">
        <v>0</v>
      </c>
      <c r="AR223" s="59">
        <v>0</v>
      </c>
      <c r="AS223" s="60">
        <v>0</v>
      </c>
    </row>
    <row r="224" spans="2:45" s="57" customFormat="1">
      <c r="B224" s="46" t="s">
        <v>901</v>
      </c>
      <c r="C224" s="46" t="s">
        <v>902</v>
      </c>
      <c r="D224" s="46" t="s">
        <v>899</v>
      </c>
      <c r="E224" s="46" t="s">
        <v>107</v>
      </c>
      <c r="F224" s="46"/>
      <c r="G224" s="61">
        <v>5</v>
      </c>
      <c r="H224" s="48">
        <f t="shared" si="36"/>
        <v>24</v>
      </c>
      <c r="I224" s="49">
        <f t="shared" si="40"/>
        <v>120</v>
      </c>
      <c r="J224" s="50">
        <v>0.23</v>
      </c>
      <c r="K224" s="51">
        <f t="shared" si="34"/>
        <v>27.599999999999994</v>
      </c>
      <c r="L224" s="51">
        <f t="shared" si="37"/>
        <v>147.6</v>
      </c>
      <c r="M224" s="52"/>
      <c r="N224" s="53" t="s">
        <v>903</v>
      </c>
      <c r="O224" s="52">
        <v>16</v>
      </c>
      <c r="P224" s="54" t="s">
        <v>24</v>
      </c>
      <c r="Q224" s="54"/>
      <c r="R224" s="55">
        <v>1</v>
      </c>
      <c r="S224" s="54">
        <v>17</v>
      </c>
      <c r="T224" s="56">
        <f t="shared" si="35"/>
        <v>85</v>
      </c>
      <c r="U224" s="52">
        <v>5</v>
      </c>
      <c r="V224" s="52">
        <v>20.8</v>
      </c>
      <c r="W224" s="52">
        <f t="shared" si="41"/>
        <v>20.8</v>
      </c>
      <c r="X224" s="52">
        <f t="shared" si="38"/>
        <v>104</v>
      </c>
      <c r="Y224" s="52"/>
      <c r="Z224" s="52">
        <v>17</v>
      </c>
      <c r="AA224" s="52">
        <f t="shared" si="39"/>
        <v>85</v>
      </c>
      <c r="AB224" s="52"/>
      <c r="AC224" s="52"/>
      <c r="AE224" s="57" t="s">
        <v>904</v>
      </c>
      <c r="AH224" s="57">
        <v>16</v>
      </c>
      <c r="AI224" s="58"/>
      <c r="AK224" s="57">
        <f t="shared" si="42"/>
        <v>80</v>
      </c>
      <c r="AP224" s="57">
        <v>1</v>
      </c>
      <c r="AQ224" s="59" t="s">
        <v>905</v>
      </c>
      <c r="AR224" s="60">
        <v>83.186499999999995</v>
      </c>
      <c r="AS224" s="60">
        <v>831.86500000000001</v>
      </c>
    </row>
    <row r="225" spans="2:45" s="57" customFormat="1">
      <c r="B225" s="46" t="s">
        <v>906</v>
      </c>
      <c r="C225" s="46" t="s">
        <v>907</v>
      </c>
      <c r="D225" s="46" t="s">
        <v>899</v>
      </c>
      <c r="E225" s="46" t="s">
        <v>107</v>
      </c>
      <c r="F225" s="46" t="s">
        <v>908</v>
      </c>
      <c r="G225" s="61">
        <v>5</v>
      </c>
      <c r="H225" s="48">
        <f>ROUND(O225*1.3,2)</f>
        <v>53.14</v>
      </c>
      <c r="I225" s="49">
        <f t="shared" si="40"/>
        <v>265.7</v>
      </c>
      <c r="J225" s="50">
        <v>0.23</v>
      </c>
      <c r="K225" s="51">
        <f t="shared" si="34"/>
        <v>61.11099999999999</v>
      </c>
      <c r="L225" s="51">
        <f t="shared" si="37"/>
        <v>326.81099999999998</v>
      </c>
      <c r="M225" s="52"/>
      <c r="N225" s="53" t="s">
        <v>909</v>
      </c>
      <c r="O225" s="52">
        <v>40.880000000000003</v>
      </c>
      <c r="P225" s="54"/>
      <c r="Q225" s="54"/>
      <c r="R225" s="55">
        <v>2</v>
      </c>
      <c r="S225" s="54">
        <v>42</v>
      </c>
      <c r="T225" s="56">
        <f t="shared" si="35"/>
        <v>210</v>
      </c>
      <c r="U225" s="52">
        <v>5</v>
      </c>
      <c r="V225" s="52">
        <v>51.27</v>
      </c>
      <c r="W225" s="52">
        <f t="shared" si="41"/>
        <v>51.27</v>
      </c>
      <c r="X225" s="52">
        <f t="shared" si="38"/>
        <v>256.35000000000002</v>
      </c>
      <c r="Y225" s="52"/>
      <c r="Z225" s="52">
        <v>42</v>
      </c>
      <c r="AA225" s="52">
        <f t="shared" si="39"/>
        <v>210</v>
      </c>
      <c r="AB225" s="52"/>
      <c r="AC225" s="52"/>
      <c r="AE225" s="57" t="s">
        <v>910</v>
      </c>
      <c r="AH225" s="57">
        <v>39.44</v>
      </c>
      <c r="AI225" s="58"/>
      <c r="AK225" s="57">
        <f t="shared" si="42"/>
        <v>197.2</v>
      </c>
      <c r="AP225" s="57">
        <v>1</v>
      </c>
      <c r="AQ225" s="59" t="s">
        <v>911</v>
      </c>
      <c r="AR225" s="60">
        <v>40.164999999999999</v>
      </c>
      <c r="AS225" s="60">
        <v>200.82499999999999</v>
      </c>
    </row>
    <row r="226" spans="2:45" s="57" customFormat="1">
      <c r="B226" s="46" t="s">
        <v>912</v>
      </c>
      <c r="C226" s="46" t="s">
        <v>913</v>
      </c>
      <c r="D226" s="46" t="s">
        <v>899</v>
      </c>
      <c r="E226" s="46" t="s">
        <v>107</v>
      </c>
      <c r="F226" s="46"/>
      <c r="G226" s="61">
        <v>30</v>
      </c>
      <c r="H226" s="48">
        <f t="shared" si="36"/>
        <v>17.13</v>
      </c>
      <c r="I226" s="49">
        <f t="shared" si="40"/>
        <v>513.9</v>
      </c>
      <c r="J226" s="50">
        <v>0.23</v>
      </c>
      <c r="K226" s="51">
        <f t="shared" si="34"/>
        <v>118.197</v>
      </c>
      <c r="L226" s="51">
        <f t="shared" si="37"/>
        <v>632.09699999999998</v>
      </c>
      <c r="M226" s="52" t="s">
        <v>914</v>
      </c>
      <c r="N226" s="53" t="s">
        <v>114</v>
      </c>
      <c r="O226" s="52">
        <v>11.42</v>
      </c>
      <c r="P226" s="54" t="s">
        <v>24</v>
      </c>
      <c r="Q226" s="54"/>
      <c r="R226" s="55">
        <v>23</v>
      </c>
      <c r="S226" s="54">
        <v>13</v>
      </c>
      <c r="T226" s="56">
        <f t="shared" si="35"/>
        <v>390</v>
      </c>
      <c r="U226" s="52">
        <v>30</v>
      </c>
      <c r="V226" s="52">
        <v>14.83</v>
      </c>
      <c r="W226" s="52">
        <f t="shared" si="41"/>
        <v>14.83</v>
      </c>
      <c r="X226" s="52">
        <f t="shared" si="38"/>
        <v>444.9</v>
      </c>
      <c r="Y226" s="52"/>
      <c r="Z226" s="52">
        <v>12</v>
      </c>
      <c r="AA226" s="52">
        <f t="shared" si="39"/>
        <v>360</v>
      </c>
      <c r="AB226" s="52"/>
      <c r="AC226" s="52"/>
      <c r="AE226" s="57">
        <v>429991354</v>
      </c>
      <c r="AH226" s="57">
        <v>11.41</v>
      </c>
      <c r="AI226" s="58"/>
      <c r="AK226" s="57">
        <f t="shared" si="42"/>
        <v>342.3</v>
      </c>
      <c r="AP226" s="57">
        <v>5</v>
      </c>
      <c r="AQ226" s="59">
        <v>0</v>
      </c>
      <c r="AR226" s="59">
        <v>0</v>
      </c>
      <c r="AS226" s="60">
        <v>0</v>
      </c>
    </row>
    <row r="227" spans="2:45" s="57" customFormat="1" ht="22.5">
      <c r="B227" s="46" t="s">
        <v>915</v>
      </c>
      <c r="C227" s="46" t="s">
        <v>916</v>
      </c>
      <c r="D227" s="46" t="s">
        <v>899</v>
      </c>
      <c r="E227" s="46" t="s">
        <v>107</v>
      </c>
      <c r="F227" s="46"/>
      <c r="G227" s="61">
        <v>10</v>
      </c>
      <c r="H227" s="48">
        <f t="shared" si="36"/>
        <v>21.75</v>
      </c>
      <c r="I227" s="49">
        <f t="shared" si="40"/>
        <v>217.5</v>
      </c>
      <c r="J227" s="50">
        <v>0.23</v>
      </c>
      <c r="K227" s="51">
        <f t="shared" si="34"/>
        <v>50.024999999999977</v>
      </c>
      <c r="L227" s="51">
        <f t="shared" si="37"/>
        <v>267.52499999999998</v>
      </c>
      <c r="M227" s="52"/>
      <c r="N227" s="53" t="s">
        <v>903</v>
      </c>
      <c r="O227" s="52">
        <v>14.5</v>
      </c>
      <c r="P227" s="54" t="s">
        <v>24</v>
      </c>
      <c r="Q227" s="54"/>
      <c r="R227" s="55">
        <v>1</v>
      </c>
      <c r="S227" s="54">
        <v>16</v>
      </c>
      <c r="T227" s="56">
        <f t="shared" si="35"/>
        <v>160</v>
      </c>
      <c r="U227" s="52">
        <v>10</v>
      </c>
      <c r="V227" s="52">
        <v>18.850000000000001</v>
      </c>
      <c r="W227" s="52">
        <f t="shared" si="41"/>
        <v>18.850000000000001</v>
      </c>
      <c r="X227" s="52">
        <f t="shared" si="38"/>
        <v>188.5</v>
      </c>
      <c r="Y227" s="52"/>
      <c r="Z227" s="52">
        <v>15</v>
      </c>
      <c r="AA227" s="52">
        <f t="shared" si="39"/>
        <v>150</v>
      </c>
      <c r="AB227" s="52"/>
      <c r="AC227" s="52"/>
      <c r="AE227" s="57" t="s">
        <v>904</v>
      </c>
      <c r="AH227" s="57">
        <v>14.5</v>
      </c>
      <c r="AI227" s="58"/>
      <c r="AK227" s="57">
        <f t="shared" si="42"/>
        <v>145</v>
      </c>
      <c r="AP227" s="57">
        <v>4</v>
      </c>
      <c r="AQ227" s="59">
        <v>0</v>
      </c>
      <c r="AR227" s="59">
        <v>0</v>
      </c>
      <c r="AS227" s="60">
        <v>0</v>
      </c>
    </row>
    <row r="228" spans="2:45" s="57" customFormat="1">
      <c r="B228" s="46" t="s">
        <v>917</v>
      </c>
      <c r="C228" s="46" t="s">
        <v>918</v>
      </c>
      <c r="D228" s="46" t="s">
        <v>47</v>
      </c>
      <c r="E228" s="46" t="s">
        <v>56</v>
      </c>
      <c r="F228" s="46" t="s">
        <v>919</v>
      </c>
      <c r="G228" s="61">
        <v>1</v>
      </c>
      <c r="H228" s="48">
        <f t="shared" si="36"/>
        <v>48.65</v>
      </c>
      <c r="I228" s="49">
        <f t="shared" si="40"/>
        <v>48.65</v>
      </c>
      <c r="J228" s="50">
        <v>0.23</v>
      </c>
      <c r="K228" s="51">
        <f t="shared" si="34"/>
        <v>11.189500000000002</v>
      </c>
      <c r="L228" s="51">
        <f t="shared" si="37"/>
        <v>59.839500000000001</v>
      </c>
      <c r="M228" s="52"/>
      <c r="N228" s="53" t="s">
        <v>50</v>
      </c>
      <c r="O228" s="52">
        <v>32.43</v>
      </c>
      <c r="P228" s="54" t="s">
        <v>64</v>
      </c>
      <c r="Q228" s="54">
        <v>48.76</v>
      </c>
      <c r="R228" s="55"/>
      <c r="S228" s="54">
        <v>35</v>
      </c>
      <c r="T228" s="56">
        <f t="shared" si="35"/>
        <v>35</v>
      </c>
      <c r="U228" s="52">
        <v>1</v>
      </c>
      <c r="V228" s="52">
        <v>61.1</v>
      </c>
      <c r="W228" s="52">
        <f t="shared" si="41"/>
        <v>61.1</v>
      </c>
      <c r="X228" s="52">
        <f t="shared" si="38"/>
        <v>61.1</v>
      </c>
      <c r="Y228" s="52"/>
      <c r="Z228" s="52">
        <v>56.65</v>
      </c>
      <c r="AA228" s="52">
        <f t="shared" si="39"/>
        <v>56.65</v>
      </c>
      <c r="AB228" s="52"/>
      <c r="AC228" s="52"/>
      <c r="AE228" s="57" t="s">
        <v>52</v>
      </c>
      <c r="AH228" s="57">
        <v>47</v>
      </c>
      <c r="AI228" s="58">
        <v>0</v>
      </c>
      <c r="AK228" s="57">
        <f t="shared" si="42"/>
        <v>47</v>
      </c>
      <c r="AP228" s="57">
        <v>0</v>
      </c>
      <c r="AQ228" s="59">
        <v>0</v>
      </c>
      <c r="AR228" s="59">
        <v>0</v>
      </c>
      <c r="AS228" s="60">
        <v>0</v>
      </c>
    </row>
    <row r="229" spans="2:45" s="57" customFormat="1" ht="33.75">
      <c r="B229" s="46" t="s">
        <v>920</v>
      </c>
      <c r="C229" s="64" t="s">
        <v>921</v>
      </c>
      <c r="D229" s="64" t="s">
        <v>291</v>
      </c>
      <c r="E229" s="64" t="s">
        <v>364</v>
      </c>
      <c r="F229" s="64" t="s">
        <v>922</v>
      </c>
      <c r="G229" s="47">
        <v>10</v>
      </c>
      <c r="H229" s="65">
        <f>ROUND(O229*1.05,2)</f>
        <v>134.44</v>
      </c>
      <c r="I229" s="49">
        <f t="shared" si="40"/>
        <v>1344.4</v>
      </c>
      <c r="J229" s="50">
        <v>0.23</v>
      </c>
      <c r="K229" s="51">
        <f t="shared" si="34"/>
        <v>309.21199999999999</v>
      </c>
      <c r="L229" s="51">
        <f t="shared" si="37"/>
        <v>1653.6120000000001</v>
      </c>
      <c r="M229" s="52"/>
      <c r="N229" s="53" t="s">
        <v>50</v>
      </c>
      <c r="O229" s="52">
        <v>128.04</v>
      </c>
      <c r="P229" s="54" t="s">
        <v>64</v>
      </c>
      <c r="Q229" s="54"/>
      <c r="R229" s="55"/>
      <c r="S229" s="54">
        <v>140</v>
      </c>
      <c r="T229" s="56">
        <f t="shared" si="35"/>
        <v>1400</v>
      </c>
      <c r="U229" s="52">
        <v>5</v>
      </c>
      <c r="V229" s="52">
        <v>81.709999999999994</v>
      </c>
      <c r="W229" s="52">
        <f>ROUND(AH229*1.1,2)</f>
        <v>81.709999999999994</v>
      </c>
      <c r="X229" s="52">
        <f t="shared" si="38"/>
        <v>817.09999999999991</v>
      </c>
      <c r="Y229" s="52">
        <v>0.1</v>
      </c>
      <c r="Z229" s="52">
        <v>205.98</v>
      </c>
      <c r="AA229" s="52">
        <f t="shared" si="39"/>
        <v>2059.7999999999997</v>
      </c>
      <c r="AB229" s="52" t="s">
        <v>239</v>
      </c>
      <c r="AC229" s="52"/>
      <c r="AE229" s="57" t="s">
        <v>52</v>
      </c>
      <c r="AH229" s="57">
        <v>74.28</v>
      </c>
      <c r="AI229" s="58">
        <v>0</v>
      </c>
      <c r="AK229" s="57">
        <f t="shared" si="42"/>
        <v>742.8</v>
      </c>
      <c r="AP229" s="57">
        <v>0</v>
      </c>
      <c r="AQ229" s="59">
        <v>0</v>
      </c>
      <c r="AR229" s="59">
        <v>0</v>
      </c>
      <c r="AS229" s="60">
        <v>0</v>
      </c>
    </row>
    <row r="230" spans="2:45" s="57" customFormat="1">
      <c r="B230" s="46" t="s">
        <v>923</v>
      </c>
      <c r="C230" s="64" t="s">
        <v>924</v>
      </c>
      <c r="D230" s="64" t="s">
        <v>291</v>
      </c>
      <c r="E230" s="64" t="s">
        <v>925</v>
      </c>
      <c r="F230" s="64" t="s">
        <v>926</v>
      </c>
      <c r="G230" s="47">
        <v>10</v>
      </c>
      <c r="H230" s="65">
        <f>ROUND(O230*1.3,2)</f>
        <v>192.28</v>
      </c>
      <c r="I230" s="71">
        <f t="shared" si="40"/>
        <v>1922.8</v>
      </c>
      <c r="J230" s="50">
        <v>0.23</v>
      </c>
      <c r="K230" s="51">
        <f t="shared" si="34"/>
        <v>442.24399999999991</v>
      </c>
      <c r="L230" s="51">
        <f t="shared" si="37"/>
        <v>2365.0439999999999</v>
      </c>
      <c r="M230" s="52"/>
      <c r="N230" s="53" t="s">
        <v>50</v>
      </c>
      <c r="O230" s="52">
        <v>147.91</v>
      </c>
      <c r="P230" s="54" t="s">
        <v>64</v>
      </c>
      <c r="Q230" s="54">
        <f>85.08*2.5</f>
        <v>212.7</v>
      </c>
      <c r="R230" s="55">
        <v>7</v>
      </c>
      <c r="S230" s="54">
        <v>160</v>
      </c>
      <c r="T230" s="56">
        <f t="shared" si="35"/>
        <v>1600</v>
      </c>
      <c r="U230" s="52">
        <v>10</v>
      </c>
      <c r="V230" s="52">
        <v>160.34</v>
      </c>
      <c r="W230" s="52">
        <f t="shared" si="41"/>
        <v>160.34</v>
      </c>
      <c r="X230" s="52">
        <f t="shared" si="38"/>
        <v>1603.4</v>
      </c>
      <c r="Y230" s="52"/>
      <c r="Z230" s="52">
        <v>129.25</v>
      </c>
      <c r="AA230" s="52">
        <f t="shared" si="39"/>
        <v>1292.5</v>
      </c>
      <c r="AB230" s="52"/>
      <c r="AC230" s="52"/>
      <c r="AE230" s="57" t="s">
        <v>52</v>
      </c>
      <c r="AH230" s="57">
        <v>123.34</v>
      </c>
      <c r="AI230" s="58">
        <v>6</v>
      </c>
      <c r="AK230" s="57">
        <f t="shared" si="42"/>
        <v>1233.4000000000001</v>
      </c>
      <c r="AQ230" s="59">
        <v>0</v>
      </c>
      <c r="AR230" s="59">
        <v>0</v>
      </c>
      <c r="AS230" s="60">
        <v>0</v>
      </c>
    </row>
    <row r="231" spans="2:45" s="57" customFormat="1">
      <c r="B231" s="46" t="s">
        <v>927</v>
      </c>
      <c r="C231" s="46" t="s">
        <v>928</v>
      </c>
      <c r="D231" s="46" t="s">
        <v>47</v>
      </c>
      <c r="E231" s="46" t="s">
        <v>56</v>
      </c>
      <c r="F231" s="46" t="s">
        <v>929</v>
      </c>
      <c r="G231" s="61">
        <v>3</v>
      </c>
      <c r="H231" s="48">
        <f t="shared" si="36"/>
        <v>43.59</v>
      </c>
      <c r="I231" s="49">
        <f t="shared" si="40"/>
        <v>130.77000000000001</v>
      </c>
      <c r="J231" s="50">
        <v>0.23</v>
      </c>
      <c r="K231" s="51">
        <f t="shared" si="34"/>
        <v>30.077100000000002</v>
      </c>
      <c r="L231" s="51">
        <f t="shared" si="37"/>
        <v>160.84710000000001</v>
      </c>
      <c r="M231" s="52"/>
      <c r="N231" s="53" t="s">
        <v>50</v>
      </c>
      <c r="O231" s="52">
        <v>29.06</v>
      </c>
      <c r="P231" s="54" t="s">
        <v>64</v>
      </c>
      <c r="Q231" s="54">
        <v>48.8</v>
      </c>
      <c r="R231" s="55"/>
      <c r="S231" s="54">
        <v>33</v>
      </c>
      <c r="T231" s="56">
        <f t="shared" si="35"/>
        <v>99</v>
      </c>
      <c r="U231" s="52">
        <v>3</v>
      </c>
      <c r="V231" s="52">
        <v>31.51</v>
      </c>
      <c r="W231" s="52">
        <f t="shared" si="41"/>
        <v>31.51</v>
      </c>
      <c r="X231" s="52">
        <f t="shared" si="38"/>
        <v>94.53</v>
      </c>
      <c r="Y231" s="52"/>
      <c r="Z231" s="52">
        <v>28.92</v>
      </c>
      <c r="AA231" s="52">
        <f t="shared" si="39"/>
        <v>86.76</v>
      </c>
      <c r="AB231" s="52"/>
      <c r="AC231" s="52"/>
      <c r="AE231" s="57" t="s">
        <v>52</v>
      </c>
      <c r="AH231" s="57">
        <v>24.24</v>
      </c>
      <c r="AI231" s="58">
        <v>1</v>
      </c>
      <c r="AK231" s="57">
        <f t="shared" si="42"/>
        <v>72.72</v>
      </c>
      <c r="AP231" s="57">
        <v>5</v>
      </c>
      <c r="AQ231" s="59" t="s">
        <v>930</v>
      </c>
      <c r="AR231" s="60">
        <v>29.347999999999995</v>
      </c>
      <c r="AS231" s="60">
        <v>58.695999999999991</v>
      </c>
    </row>
    <row r="232" spans="2:45" s="57" customFormat="1">
      <c r="B232" s="46" t="s">
        <v>931</v>
      </c>
      <c r="C232" s="46" t="s">
        <v>932</v>
      </c>
      <c r="D232" s="66" t="s">
        <v>87</v>
      </c>
      <c r="E232" s="46" t="s">
        <v>88</v>
      </c>
      <c r="F232" s="46" t="s">
        <v>933</v>
      </c>
      <c r="G232" s="67">
        <v>2</v>
      </c>
      <c r="H232" s="48">
        <f>ROUND(O232*1.3,2)</f>
        <v>259.08999999999997</v>
      </c>
      <c r="I232" s="49">
        <f t="shared" si="40"/>
        <v>518.17999999999995</v>
      </c>
      <c r="J232" s="50">
        <v>0.08</v>
      </c>
      <c r="K232" s="51">
        <f t="shared" si="34"/>
        <v>41.454399999999964</v>
      </c>
      <c r="L232" s="51">
        <f t="shared" si="37"/>
        <v>559.63439999999991</v>
      </c>
      <c r="M232" s="52"/>
      <c r="N232" s="53" t="s">
        <v>185</v>
      </c>
      <c r="O232" s="52">
        <v>199.3</v>
      </c>
      <c r="P232" s="54" t="s">
        <v>24</v>
      </c>
      <c r="Q232" s="54"/>
      <c r="R232" s="55">
        <v>1</v>
      </c>
      <c r="S232" s="54">
        <v>210</v>
      </c>
      <c r="T232" s="56">
        <f t="shared" si="35"/>
        <v>420</v>
      </c>
      <c r="U232" s="52">
        <v>2</v>
      </c>
      <c r="V232" s="52">
        <v>251.32</v>
      </c>
      <c r="W232" s="52">
        <f t="shared" si="41"/>
        <v>251.32</v>
      </c>
      <c r="X232" s="52">
        <f t="shared" si="38"/>
        <v>502.64</v>
      </c>
      <c r="Y232" s="52"/>
      <c r="Z232" s="52">
        <v>237.6</v>
      </c>
      <c r="AA232" s="52">
        <f t="shared" si="39"/>
        <v>475.2</v>
      </c>
      <c r="AB232" s="52"/>
      <c r="AC232" s="52"/>
      <c r="AE232" s="57" t="s">
        <v>187</v>
      </c>
      <c r="AH232" s="57">
        <v>193.32</v>
      </c>
      <c r="AI232" s="58">
        <v>2</v>
      </c>
      <c r="AK232" s="57">
        <f t="shared" si="42"/>
        <v>386.64</v>
      </c>
      <c r="AQ232" s="59">
        <v>0</v>
      </c>
      <c r="AR232" s="59">
        <v>0</v>
      </c>
      <c r="AS232" s="60">
        <v>0</v>
      </c>
    </row>
    <row r="233" spans="2:45" s="57" customFormat="1">
      <c r="B233" s="46" t="s">
        <v>934</v>
      </c>
      <c r="C233" s="46" t="s">
        <v>935</v>
      </c>
      <c r="D233" s="66" t="s">
        <v>87</v>
      </c>
      <c r="E233" s="46" t="s">
        <v>88</v>
      </c>
      <c r="F233" s="46" t="s">
        <v>936</v>
      </c>
      <c r="G233" s="67">
        <v>2</v>
      </c>
      <c r="H233" s="48">
        <f t="shared" ref="H233:H234" si="43">ROUND(O233*1.3,2)</f>
        <v>170.04</v>
      </c>
      <c r="I233" s="49">
        <f t="shared" si="40"/>
        <v>340.08</v>
      </c>
      <c r="J233" s="50">
        <v>0.08</v>
      </c>
      <c r="K233" s="51">
        <f t="shared" si="34"/>
        <v>27.206399999999974</v>
      </c>
      <c r="L233" s="51">
        <f t="shared" si="37"/>
        <v>367.28639999999996</v>
      </c>
      <c r="M233" s="52"/>
      <c r="N233" s="53" t="s">
        <v>185</v>
      </c>
      <c r="O233" s="52">
        <v>130.80000000000001</v>
      </c>
      <c r="P233" s="54" t="s">
        <v>24</v>
      </c>
      <c r="Q233" s="54"/>
      <c r="R233" s="55">
        <v>3</v>
      </c>
      <c r="S233" s="54">
        <v>140</v>
      </c>
      <c r="T233" s="56">
        <f t="shared" si="35"/>
        <v>280</v>
      </c>
      <c r="U233" s="52">
        <v>2</v>
      </c>
      <c r="V233" s="52">
        <v>164.94</v>
      </c>
      <c r="W233" s="52">
        <f t="shared" si="41"/>
        <v>164.94</v>
      </c>
      <c r="X233" s="52">
        <f t="shared" si="38"/>
        <v>329.88</v>
      </c>
      <c r="Y233" s="52"/>
      <c r="Z233" s="52">
        <v>156</v>
      </c>
      <c r="AA233" s="52">
        <f t="shared" si="39"/>
        <v>312</v>
      </c>
      <c r="AB233" s="52"/>
      <c r="AC233" s="52"/>
      <c r="AE233" s="57" t="s">
        <v>187</v>
      </c>
      <c r="AH233" s="57">
        <v>126.88</v>
      </c>
      <c r="AI233" s="58">
        <v>5</v>
      </c>
      <c r="AK233" s="57">
        <f t="shared" si="42"/>
        <v>253.76</v>
      </c>
      <c r="AQ233" s="59">
        <v>0</v>
      </c>
      <c r="AR233" s="59">
        <v>0</v>
      </c>
      <c r="AS233" s="60">
        <v>0</v>
      </c>
    </row>
    <row r="234" spans="2:45" s="57" customFormat="1">
      <c r="B234" s="46" t="s">
        <v>937</v>
      </c>
      <c r="C234" s="46" t="s">
        <v>938</v>
      </c>
      <c r="D234" s="66" t="s">
        <v>87</v>
      </c>
      <c r="E234" s="46" t="s">
        <v>88</v>
      </c>
      <c r="F234" s="46" t="s">
        <v>939</v>
      </c>
      <c r="G234" s="67">
        <v>2</v>
      </c>
      <c r="H234" s="48">
        <f t="shared" si="43"/>
        <v>318.63</v>
      </c>
      <c r="I234" s="49">
        <f t="shared" si="40"/>
        <v>637.26</v>
      </c>
      <c r="J234" s="50">
        <v>0.08</v>
      </c>
      <c r="K234" s="51">
        <f t="shared" si="34"/>
        <v>50.980800000000045</v>
      </c>
      <c r="L234" s="51">
        <f t="shared" si="37"/>
        <v>688.24080000000004</v>
      </c>
      <c r="M234" s="52"/>
      <c r="N234" s="53" t="s">
        <v>185</v>
      </c>
      <c r="O234" s="52">
        <v>245.1</v>
      </c>
      <c r="P234" s="54" t="s">
        <v>24</v>
      </c>
      <c r="Q234" s="54"/>
      <c r="R234" s="55"/>
      <c r="S234" s="54">
        <v>260</v>
      </c>
      <c r="T234" s="56">
        <f t="shared" si="35"/>
        <v>520</v>
      </c>
      <c r="U234" s="52">
        <v>2</v>
      </c>
      <c r="V234" s="52">
        <v>309.08</v>
      </c>
      <c r="W234" s="52">
        <f t="shared" si="41"/>
        <v>309.08</v>
      </c>
      <c r="X234" s="52">
        <f t="shared" si="38"/>
        <v>618.16</v>
      </c>
      <c r="Y234" s="52"/>
      <c r="Z234" s="52">
        <v>250</v>
      </c>
      <c r="AA234" s="52">
        <f t="shared" si="39"/>
        <v>500</v>
      </c>
      <c r="AB234" s="52"/>
      <c r="AC234" s="52"/>
      <c r="AE234" s="57" t="s">
        <v>187</v>
      </c>
      <c r="AH234" s="57">
        <v>237.75</v>
      </c>
      <c r="AI234" s="58"/>
      <c r="AK234" s="57">
        <f t="shared" si="42"/>
        <v>475.5</v>
      </c>
      <c r="AQ234" s="59">
        <v>0</v>
      </c>
      <c r="AR234" s="59">
        <v>0</v>
      </c>
      <c r="AS234" s="60">
        <v>0</v>
      </c>
    </row>
    <row r="235" spans="2:45" s="57" customFormat="1" ht="22.5">
      <c r="B235" s="46" t="s">
        <v>940</v>
      </c>
      <c r="C235" s="46" t="s">
        <v>941</v>
      </c>
      <c r="D235" s="46" t="s">
        <v>112</v>
      </c>
      <c r="E235" s="46" t="s">
        <v>56</v>
      </c>
      <c r="F235" s="46" t="s">
        <v>942</v>
      </c>
      <c r="G235" s="61">
        <v>5</v>
      </c>
      <c r="H235" s="48">
        <f t="shared" si="36"/>
        <v>68.87</v>
      </c>
      <c r="I235" s="49">
        <f t="shared" si="40"/>
        <v>344.35</v>
      </c>
      <c r="J235" s="50">
        <v>0.23</v>
      </c>
      <c r="K235" s="51">
        <f t="shared" si="34"/>
        <v>79.200500000000034</v>
      </c>
      <c r="L235" s="51">
        <f t="shared" si="37"/>
        <v>423.55050000000006</v>
      </c>
      <c r="M235" s="52"/>
      <c r="N235" s="53" t="s">
        <v>114</v>
      </c>
      <c r="O235" s="52">
        <v>45.91</v>
      </c>
      <c r="P235" s="54" t="s">
        <v>24</v>
      </c>
      <c r="Q235" s="54"/>
      <c r="R235" s="55">
        <v>15</v>
      </c>
      <c r="S235" s="54">
        <v>50</v>
      </c>
      <c r="T235" s="56">
        <f t="shared" si="35"/>
        <v>250</v>
      </c>
      <c r="U235" s="52">
        <v>5</v>
      </c>
      <c r="V235" s="52">
        <v>59.68</v>
      </c>
      <c r="W235" s="52">
        <f t="shared" si="41"/>
        <v>59.68</v>
      </c>
      <c r="X235" s="52">
        <f t="shared" si="38"/>
        <v>298.39999999999998</v>
      </c>
      <c r="Y235" s="52"/>
      <c r="Z235" s="52">
        <v>43</v>
      </c>
      <c r="AA235" s="52">
        <f t="shared" si="39"/>
        <v>215</v>
      </c>
      <c r="AB235" s="52"/>
      <c r="AC235" s="52"/>
      <c r="AE235" s="57" t="s">
        <v>115</v>
      </c>
      <c r="AF235" s="57">
        <v>60.41</v>
      </c>
      <c r="AH235" s="57">
        <v>45.91</v>
      </c>
      <c r="AI235" s="58"/>
      <c r="AJ235" s="57">
        <v>42</v>
      </c>
      <c r="AK235" s="57">
        <f>AJ235*G235</f>
        <v>210</v>
      </c>
      <c r="AQ235" s="59">
        <v>0</v>
      </c>
      <c r="AR235" s="59">
        <v>0</v>
      </c>
      <c r="AS235" s="60">
        <v>0</v>
      </c>
    </row>
    <row r="236" spans="2:45" s="57" customFormat="1" ht="22.5">
      <c r="B236" s="46" t="s">
        <v>943</v>
      </c>
      <c r="C236" s="46" t="s">
        <v>944</v>
      </c>
      <c r="D236" s="46" t="s">
        <v>112</v>
      </c>
      <c r="E236" s="46" t="s">
        <v>56</v>
      </c>
      <c r="F236" s="64" t="s">
        <v>945</v>
      </c>
      <c r="G236" s="61">
        <v>7</v>
      </c>
      <c r="H236" s="48">
        <f t="shared" si="36"/>
        <v>36.15</v>
      </c>
      <c r="I236" s="49">
        <f t="shared" si="40"/>
        <v>253.04999999999998</v>
      </c>
      <c r="J236" s="50">
        <v>0.23</v>
      </c>
      <c r="K236" s="51">
        <f t="shared" si="34"/>
        <v>58.201499999999982</v>
      </c>
      <c r="L236" s="51">
        <f t="shared" si="37"/>
        <v>311.25149999999996</v>
      </c>
      <c r="M236" s="52" t="s">
        <v>177</v>
      </c>
      <c r="N236" s="53" t="s">
        <v>114</v>
      </c>
      <c r="O236" s="52">
        <v>24.1</v>
      </c>
      <c r="P236" s="54" t="s">
        <v>24</v>
      </c>
      <c r="Q236" s="54"/>
      <c r="R236" s="55">
        <v>6</v>
      </c>
      <c r="S236" s="54">
        <v>26</v>
      </c>
      <c r="T236" s="56">
        <f t="shared" si="35"/>
        <v>182</v>
      </c>
      <c r="U236" s="52">
        <v>7</v>
      </c>
      <c r="V236" s="52">
        <v>36.82</v>
      </c>
      <c r="W236" s="52">
        <f t="shared" si="41"/>
        <v>36.82</v>
      </c>
      <c r="X236" s="52">
        <f t="shared" si="38"/>
        <v>257.74</v>
      </c>
      <c r="Y236" s="52"/>
      <c r="Z236" s="52">
        <v>47.26</v>
      </c>
      <c r="AA236" s="52">
        <f t="shared" si="39"/>
        <v>330.82</v>
      </c>
      <c r="AB236" s="52"/>
      <c r="AC236" s="52"/>
      <c r="AE236" s="57" t="s">
        <v>52</v>
      </c>
      <c r="AH236" s="57">
        <v>28.32</v>
      </c>
      <c r="AI236" s="58">
        <v>5</v>
      </c>
      <c r="AK236" s="57">
        <f>AH236*G236</f>
        <v>198.24</v>
      </c>
      <c r="AQ236" s="59">
        <v>0</v>
      </c>
      <c r="AR236" s="59">
        <v>0</v>
      </c>
      <c r="AS236" s="60">
        <v>0</v>
      </c>
    </row>
    <row r="237" spans="2:45" s="57" customFormat="1">
      <c r="B237" s="46" t="s">
        <v>946</v>
      </c>
      <c r="C237" s="88" t="s">
        <v>947</v>
      </c>
      <c r="D237" s="64" t="s">
        <v>112</v>
      </c>
      <c r="E237" s="64" t="s">
        <v>56</v>
      </c>
      <c r="F237" s="89" t="s">
        <v>948</v>
      </c>
      <c r="G237" s="47">
        <v>1</v>
      </c>
      <c r="H237" s="65">
        <f>ROUND(O237*1.2,2)</f>
        <v>201.01</v>
      </c>
      <c r="I237" s="49">
        <f t="shared" si="40"/>
        <v>201.01</v>
      </c>
      <c r="J237" s="50">
        <v>0.23</v>
      </c>
      <c r="K237" s="51">
        <f t="shared" si="34"/>
        <v>46.232300000000009</v>
      </c>
      <c r="L237" s="51">
        <f t="shared" si="37"/>
        <v>247.2423</v>
      </c>
      <c r="M237" s="52"/>
      <c r="N237" s="53" t="s">
        <v>134</v>
      </c>
      <c r="O237" s="52">
        <f>42.3*4.5*0.88</f>
        <v>167.50800000000001</v>
      </c>
      <c r="P237" s="54" t="s">
        <v>24</v>
      </c>
      <c r="Q237" s="54"/>
      <c r="R237" s="55"/>
      <c r="S237" s="54">
        <v>180</v>
      </c>
      <c r="T237" s="56">
        <f t="shared" si="35"/>
        <v>180</v>
      </c>
      <c r="U237" s="52">
        <v>1</v>
      </c>
      <c r="V237" s="52">
        <v>173.14</v>
      </c>
      <c r="W237" s="52">
        <f>ROUND(AH237*1.1,2)</f>
        <v>173.14</v>
      </c>
      <c r="X237" s="52">
        <f t="shared" si="38"/>
        <v>173.14</v>
      </c>
      <c r="Y237" s="52">
        <v>0.1</v>
      </c>
      <c r="Z237" s="52">
        <v>160</v>
      </c>
      <c r="AA237" s="52">
        <f t="shared" si="39"/>
        <v>160</v>
      </c>
      <c r="AB237" s="52"/>
      <c r="AC237" s="52"/>
      <c r="AD237" s="57" t="s">
        <v>949</v>
      </c>
      <c r="AE237" s="57" t="s">
        <v>137</v>
      </c>
      <c r="AH237" s="57">
        <v>157.4</v>
      </c>
      <c r="AI237" s="58">
        <v>0</v>
      </c>
      <c r="AK237" s="57">
        <f>AH237*G237</f>
        <v>157.4</v>
      </c>
      <c r="AP237" s="57">
        <v>0</v>
      </c>
      <c r="AQ237" s="59">
        <v>0</v>
      </c>
      <c r="AR237" s="59">
        <v>0</v>
      </c>
      <c r="AS237" s="60">
        <v>0</v>
      </c>
    </row>
    <row r="238" spans="2:45" s="57" customFormat="1" ht="22.5">
      <c r="B238" s="46" t="s">
        <v>950</v>
      </c>
      <c r="C238" s="64" t="s">
        <v>951</v>
      </c>
      <c r="D238" s="64" t="s">
        <v>132</v>
      </c>
      <c r="E238" s="64" t="s">
        <v>56</v>
      </c>
      <c r="F238" s="64" t="s">
        <v>952</v>
      </c>
      <c r="G238" s="47">
        <v>2</v>
      </c>
      <c r="H238" s="65">
        <f t="shared" si="36"/>
        <v>85.73</v>
      </c>
      <c r="I238" s="49">
        <f t="shared" si="40"/>
        <v>171.46</v>
      </c>
      <c r="J238" s="50">
        <v>0.23</v>
      </c>
      <c r="K238" s="51">
        <f t="shared" si="34"/>
        <v>39.4358</v>
      </c>
      <c r="L238" s="51">
        <f t="shared" si="37"/>
        <v>210.89580000000001</v>
      </c>
      <c r="M238" s="52"/>
      <c r="N238" s="53" t="s">
        <v>114</v>
      </c>
      <c r="O238" s="52">
        <v>57.15</v>
      </c>
      <c r="P238" s="54" t="s">
        <v>24</v>
      </c>
      <c r="Q238" s="54"/>
      <c r="R238" s="55">
        <v>1</v>
      </c>
      <c r="S238" s="54">
        <v>62</v>
      </c>
      <c r="T238" s="56">
        <f t="shared" si="35"/>
        <v>124</v>
      </c>
      <c r="U238" s="52">
        <v>2</v>
      </c>
      <c r="V238" s="52">
        <v>68.58</v>
      </c>
      <c r="W238" s="52">
        <f>ROUND(AH238*1.2,2)</f>
        <v>68.58</v>
      </c>
      <c r="X238" s="52">
        <f t="shared" si="38"/>
        <v>137.16</v>
      </c>
      <c r="Y238" s="52"/>
      <c r="Z238" s="52">
        <v>61.2</v>
      </c>
      <c r="AA238" s="52">
        <f t="shared" si="39"/>
        <v>122.4</v>
      </c>
      <c r="AB238" s="52"/>
      <c r="AC238" s="52"/>
      <c r="AE238" s="57" t="s">
        <v>115</v>
      </c>
      <c r="AF238" s="57">
        <v>75.2</v>
      </c>
      <c r="AH238" s="57">
        <v>57.15</v>
      </c>
      <c r="AI238" s="58">
        <v>0</v>
      </c>
      <c r="AJ238" s="57">
        <v>53.5</v>
      </c>
      <c r="AK238" s="57">
        <f>AJ238*G238</f>
        <v>107</v>
      </c>
      <c r="AP238" s="57">
        <v>0</v>
      </c>
      <c r="AQ238" s="59">
        <v>0</v>
      </c>
      <c r="AR238" s="59">
        <v>0</v>
      </c>
      <c r="AS238" s="60">
        <v>0</v>
      </c>
    </row>
    <row r="239" spans="2:45" s="57" customFormat="1" ht="22.5">
      <c r="B239" s="46" t="s">
        <v>953</v>
      </c>
      <c r="C239" s="64" t="s">
        <v>954</v>
      </c>
      <c r="D239" s="64" t="s">
        <v>112</v>
      </c>
      <c r="E239" s="64" t="s">
        <v>440</v>
      </c>
      <c r="F239" s="64" t="s">
        <v>955</v>
      </c>
      <c r="G239" s="47">
        <v>2</v>
      </c>
      <c r="H239" s="65">
        <f t="shared" si="36"/>
        <v>18.71</v>
      </c>
      <c r="I239" s="49">
        <f t="shared" si="40"/>
        <v>37.42</v>
      </c>
      <c r="J239" s="50">
        <v>0.23</v>
      </c>
      <c r="K239" s="51">
        <f t="shared" si="34"/>
        <v>8.6066000000000003</v>
      </c>
      <c r="L239" s="51">
        <f t="shared" si="37"/>
        <v>46.026600000000002</v>
      </c>
      <c r="M239" s="52"/>
      <c r="N239" s="53" t="s">
        <v>114</v>
      </c>
      <c r="O239" s="52">
        <v>12.47</v>
      </c>
      <c r="P239" s="54" t="s">
        <v>24</v>
      </c>
      <c r="Q239" s="54"/>
      <c r="R239" s="55"/>
      <c r="S239" s="54">
        <v>12</v>
      </c>
      <c r="T239" s="56">
        <f t="shared" si="35"/>
        <v>24</v>
      </c>
      <c r="U239" s="52"/>
      <c r="V239" s="52"/>
      <c r="W239" s="52"/>
      <c r="X239" s="52"/>
      <c r="Y239" s="52"/>
      <c r="Z239" s="52"/>
      <c r="AA239" s="52"/>
      <c r="AB239" s="52"/>
      <c r="AC239" s="52"/>
      <c r="AI239" s="58"/>
      <c r="AQ239" s="59"/>
      <c r="AR239" s="59"/>
      <c r="AS239" s="60"/>
    </row>
    <row r="240" spans="2:45" s="57" customFormat="1">
      <c r="B240" s="46" t="s">
        <v>956</v>
      </c>
      <c r="C240" s="64" t="s">
        <v>957</v>
      </c>
      <c r="D240" s="64" t="s">
        <v>112</v>
      </c>
      <c r="E240" s="64" t="s">
        <v>56</v>
      </c>
      <c r="F240" s="64" t="s">
        <v>958</v>
      </c>
      <c r="G240" s="47">
        <v>2</v>
      </c>
      <c r="H240" s="48">
        <f t="shared" si="36"/>
        <v>48.8</v>
      </c>
      <c r="I240" s="49">
        <f t="shared" si="40"/>
        <v>97.6</v>
      </c>
      <c r="J240" s="50">
        <v>0.23</v>
      </c>
      <c r="K240" s="51">
        <f t="shared" si="34"/>
        <v>22.448000000000008</v>
      </c>
      <c r="L240" s="51">
        <f t="shared" si="37"/>
        <v>120.048</v>
      </c>
      <c r="M240" s="52"/>
      <c r="N240" s="53" t="s">
        <v>50</v>
      </c>
      <c r="O240" s="52">
        <v>32.53</v>
      </c>
      <c r="P240" s="54" t="s">
        <v>64</v>
      </c>
      <c r="Q240" s="54">
        <v>33.56</v>
      </c>
      <c r="R240" s="55">
        <v>1</v>
      </c>
      <c r="S240" s="54">
        <v>35</v>
      </c>
      <c r="T240" s="56">
        <f t="shared" si="35"/>
        <v>70</v>
      </c>
      <c r="U240" s="52">
        <v>2</v>
      </c>
      <c r="V240" s="52">
        <v>43.63</v>
      </c>
      <c r="W240" s="52">
        <f>ROUND(AN240*1.3,2)</f>
        <v>43.63</v>
      </c>
      <c r="X240" s="52">
        <f t="shared" si="38"/>
        <v>87.26</v>
      </c>
      <c r="Y240" s="52" t="s">
        <v>959</v>
      </c>
      <c r="Z240" s="52">
        <v>27.95</v>
      </c>
      <c r="AA240" s="52">
        <f t="shared" si="39"/>
        <v>55.9</v>
      </c>
      <c r="AB240" s="52"/>
      <c r="AC240" s="52"/>
      <c r="AD240" s="57" t="s">
        <v>764</v>
      </c>
      <c r="AE240" s="57" t="s">
        <v>52</v>
      </c>
      <c r="AH240" s="57">
        <v>41.21</v>
      </c>
      <c r="AI240" s="58">
        <v>0</v>
      </c>
      <c r="AK240" s="57">
        <f>AH240*G240</f>
        <v>82.42</v>
      </c>
      <c r="AM240" s="70" t="s">
        <v>960</v>
      </c>
      <c r="AN240" s="57">
        <v>33.56</v>
      </c>
      <c r="AP240" s="57">
        <v>6</v>
      </c>
      <c r="AQ240" s="59">
        <v>0</v>
      </c>
      <c r="AR240" s="59">
        <v>0</v>
      </c>
      <c r="AS240" s="60">
        <v>0</v>
      </c>
    </row>
    <row r="241" spans="2:45" s="57" customFormat="1" ht="22.5">
      <c r="B241" s="46" t="s">
        <v>961</v>
      </c>
      <c r="C241" s="46" t="s">
        <v>962</v>
      </c>
      <c r="D241" s="46" t="s">
        <v>112</v>
      </c>
      <c r="E241" s="46" t="s">
        <v>56</v>
      </c>
      <c r="F241" s="46" t="s">
        <v>963</v>
      </c>
      <c r="G241" s="61">
        <v>1</v>
      </c>
      <c r="H241" s="48">
        <f t="shared" si="36"/>
        <v>109.73</v>
      </c>
      <c r="I241" s="49">
        <f t="shared" si="40"/>
        <v>109.73</v>
      </c>
      <c r="J241" s="50">
        <v>0.23</v>
      </c>
      <c r="K241" s="51">
        <f t="shared" si="34"/>
        <v>25.23790000000001</v>
      </c>
      <c r="L241" s="51">
        <f t="shared" si="37"/>
        <v>134.96790000000001</v>
      </c>
      <c r="M241" s="52"/>
      <c r="N241" s="53" t="s">
        <v>114</v>
      </c>
      <c r="O241" s="52">
        <v>73.150000000000006</v>
      </c>
      <c r="P241" s="54" t="s">
        <v>24</v>
      </c>
      <c r="Q241" s="54"/>
      <c r="R241" s="55">
        <v>1</v>
      </c>
      <c r="S241" s="54">
        <v>80</v>
      </c>
      <c r="T241" s="56">
        <f t="shared" si="35"/>
        <v>80</v>
      </c>
      <c r="U241" s="52">
        <v>1</v>
      </c>
      <c r="V241" s="52">
        <v>95.1</v>
      </c>
      <c r="W241" s="52">
        <f t="shared" si="41"/>
        <v>95.1</v>
      </c>
      <c r="X241" s="52">
        <f t="shared" si="38"/>
        <v>95.1</v>
      </c>
      <c r="Y241" s="52"/>
      <c r="Z241" s="52">
        <v>73.2</v>
      </c>
      <c r="AA241" s="52">
        <f t="shared" si="39"/>
        <v>73.2</v>
      </c>
      <c r="AB241" s="52"/>
      <c r="AC241" s="52"/>
      <c r="AE241" s="57" t="s">
        <v>115</v>
      </c>
      <c r="AF241" s="57">
        <v>96.27</v>
      </c>
      <c r="AH241" s="57">
        <v>73.150000000000006</v>
      </c>
      <c r="AI241" s="58"/>
      <c r="AK241" s="57">
        <f>AH241*G241</f>
        <v>73.150000000000006</v>
      </c>
      <c r="AP241" s="57">
        <v>1</v>
      </c>
      <c r="AQ241" s="59" t="s">
        <v>964</v>
      </c>
      <c r="AR241" s="60">
        <v>47</v>
      </c>
      <c r="AS241" s="60">
        <v>47</v>
      </c>
    </row>
    <row r="242" spans="2:45" s="57" customFormat="1" ht="22.5">
      <c r="B242" s="46" t="s">
        <v>965</v>
      </c>
      <c r="C242" s="46" t="s">
        <v>966</v>
      </c>
      <c r="D242" s="46" t="s">
        <v>967</v>
      </c>
      <c r="E242" s="46" t="s">
        <v>107</v>
      </c>
      <c r="F242" s="64" t="s">
        <v>968</v>
      </c>
      <c r="G242" s="47">
        <v>2</v>
      </c>
      <c r="H242" s="48">
        <f t="shared" si="36"/>
        <v>41.55</v>
      </c>
      <c r="I242" s="49">
        <f t="shared" si="40"/>
        <v>83.1</v>
      </c>
      <c r="J242" s="50">
        <v>0.23</v>
      </c>
      <c r="K242" s="51">
        <f t="shared" si="34"/>
        <v>19.113</v>
      </c>
      <c r="L242" s="51">
        <f t="shared" si="37"/>
        <v>102.21299999999999</v>
      </c>
      <c r="M242" s="52" t="s">
        <v>969</v>
      </c>
      <c r="N242" s="53" t="s">
        <v>50</v>
      </c>
      <c r="O242" s="52">
        <v>27.7</v>
      </c>
      <c r="P242" s="54" t="s">
        <v>24</v>
      </c>
      <c r="Q242" s="54">
        <v>9.24</v>
      </c>
      <c r="R242" s="55"/>
      <c r="S242" s="54">
        <v>11</v>
      </c>
      <c r="T242" s="56">
        <f t="shared" si="35"/>
        <v>22</v>
      </c>
      <c r="U242" s="52">
        <v>5</v>
      </c>
      <c r="V242" s="52">
        <v>26.48</v>
      </c>
      <c r="W242" s="52">
        <f t="shared" si="41"/>
        <v>26.48</v>
      </c>
      <c r="X242" s="52">
        <f t="shared" si="38"/>
        <v>52.96</v>
      </c>
      <c r="Y242" s="52"/>
      <c r="Z242" s="52">
        <v>48</v>
      </c>
      <c r="AA242" s="52">
        <f t="shared" si="39"/>
        <v>96</v>
      </c>
      <c r="AB242" s="52"/>
      <c r="AC242" s="52"/>
      <c r="AD242" s="57" t="s">
        <v>970</v>
      </c>
      <c r="AE242" s="57" t="s">
        <v>52</v>
      </c>
      <c r="AH242" s="57">
        <v>20.37</v>
      </c>
      <c r="AI242" s="58"/>
      <c r="AK242" s="57">
        <f>AH242*G242</f>
        <v>40.74</v>
      </c>
      <c r="AP242" s="57">
        <v>2</v>
      </c>
      <c r="AQ242" s="59" t="s">
        <v>971</v>
      </c>
      <c r="AR242" s="60">
        <v>74.283499999999989</v>
      </c>
      <c r="AS242" s="60">
        <v>891.40199999999982</v>
      </c>
    </row>
    <row r="243" spans="2:45" s="57" customFormat="1">
      <c r="B243" s="46" t="s">
        <v>972</v>
      </c>
      <c r="C243" s="46" t="s">
        <v>973</v>
      </c>
      <c r="D243" s="46" t="s">
        <v>112</v>
      </c>
      <c r="E243" s="46" t="s">
        <v>56</v>
      </c>
      <c r="F243" s="64" t="s">
        <v>974</v>
      </c>
      <c r="G243" s="47">
        <v>10</v>
      </c>
      <c r="H243" s="48">
        <f t="shared" si="36"/>
        <v>76.62</v>
      </c>
      <c r="I243" s="49">
        <f t="shared" si="40"/>
        <v>766.2</v>
      </c>
      <c r="J243" s="50">
        <v>0.23</v>
      </c>
      <c r="K243" s="51">
        <f t="shared" si="34"/>
        <v>176.226</v>
      </c>
      <c r="L243" s="51">
        <f t="shared" si="37"/>
        <v>942.42600000000004</v>
      </c>
      <c r="M243" s="52"/>
      <c r="N243" s="53" t="s">
        <v>50</v>
      </c>
      <c r="O243" s="52">
        <v>51.08</v>
      </c>
      <c r="P243" s="54" t="s">
        <v>64</v>
      </c>
      <c r="Q243" s="54">
        <v>30.79</v>
      </c>
      <c r="R243" s="55">
        <v>4</v>
      </c>
      <c r="S243" s="54">
        <v>33</v>
      </c>
      <c r="T243" s="56">
        <f t="shared" si="35"/>
        <v>330</v>
      </c>
      <c r="U243" s="52">
        <v>25</v>
      </c>
      <c r="V243" s="52">
        <v>55.38</v>
      </c>
      <c r="W243" s="52">
        <f t="shared" si="41"/>
        <v>55.38</v>
      </c>
      <c r="X243" s="52">
        <f t="shared" si="38"/>
        <v>553.80000000000007</v>
      </c>
      <c r="Y243" s="52"/>
      <c r="Z243" s="52">
        <v>52.62</v>
      </c>
      <c r="AA243" s="52">
        <f t="shared" si="39"/>
        <v>526.19999999999993</v>
      </c>
      <c r="AB243" s="52"/>
      <c r="AC243" s="52"/>
      <c r="AE243" s="57" t="s">
        <v>52</v>
      </c>
      <c r="AH243" s="57">
        <v>42.6</v>
      </c>
      <c r="AI243" s="58">
        <v>22</v>
      </c>
      <c r="AK243" s="57">
        <f>AH243*G243</f>
        <v>426</v>
      </c>
      <c r="AP243" s="57">
        <v>5</v>
      </c>
      <c r="AQ243" s="59" t="s">
        <v>975</v>
      </c>
      <c r="AR243" s="60">
        <v>123.337</v>
      </c>
      <c r="AS243" s="60">
        <v>986.69600000000003</v>
      </c>
    </row>
    <row r="244" spans="2:45" s="57" customFormat="1" ht="22.5">
      <c r="B244" s="46" t="s">
        <v>976</v>
      </c>
      <c r="C244" s="46" t="s">
        <v>977</v>
      </c>
      <c r="D244" s="46" t="s">
        <v>112</v>
      </c>
      <c r="E244" s="46" t="s">
        <v>56</v>
      </c>
      <c r="F244" s="64" t="s">
        <v>978</v>
      </c>
      <c r="G244" s="47">
        <v>10</v>
      </c>
      <c r="H244" s="48">
        <f t="shared" si="36"/>
        <v>65.25</v>
      </c>
      <c r="I244" s="49">
        <f t="shared" si="40"/>
        <v>652.5</v>
      </c>
      <c r="J244" s="50">
        <v>0.23</v>
      </c>
      <c r="K244" s="51">
        <f t="shared" si="34"/>
        <v>150.07500000000005</v>
      </c>
      <c r="L244" s="51">
        <f t="shared" si="37"/>
        <v>802.57500000000005</v>
      </c>
      <c r="M244" s="52"/>
      <c r="N244" s="53" t="s">
        <v>114</v>
      </c>
      <c r="O244" s="52">
        <v>43.5</v>
      </c>
      <c r="P244" s="54" t="s">
        <v>24</v>
      </c>
      <c r="Q244" s="54"/>
      <c r="R244" s="55">
        <v>1</v>
      </c>
      <c r="S244" s="54">
        <v>48</v>
      </c>
      <c r="T244" s="56">
        <f t="shared" si="35"/>
        <v>480</v>
      </c>
      <c r="U244" s="52">
        <v>20</v>
      </c>
      <c r="V244" s="52">
        <v>56.55</v>
      </c>
      <c r="W244" s="52">
        <f t="shared" si="41"/>
        <v>56.55</v>
      </c>
      <c r="X244" s="52">
        <f t="shared" si="38"/>
        <v>565.5</v>
      </c>
      <c r="Y244" s="52"/>
      <c r="Z244" s="52">
        <v>39</v>
      </c>
      <c r="AA244" s="52">
        <f t="shared" si="39"/>
        <v>390</v>
      </c>
      <c r="AB244" s="52"/>
      <c r="AC244" s="52"/>
      <c r="AE244" s="57" t="s">
        <v>115</v>
      </c>
      <c r="AF244" s="57">
        <v>57.23</v>
      </c>
      <c r="AH244" s="57">
        <v>43.5</v>
      </c>
      <c r="AI244" s="58">
        <v>26</v>
      </c>
      <c r="AJ244" s="57">
        <v>38.200000000000003</v>
      </c>
      <c r="AK244" s="57">
        <f>AJ244*G244</f>
        <v>382</v>
      </c>
      <c r="AQ244" s="59" t="s">
        <v>979</v>
      </c>
      <c r="AR244" s="60">
        <v>24.243999999999996</v>
      </c>
      <c r="AS244" s="60">
        <v>24.243999999999996</v>
      </c>
    </row>
    <row r="245" spans="2:45" s="57" customFormat="1" ht="22.5">
      <c r="B245" s="46" t="s">
        <v>980</v>
      </c>
      <c r="C245" s="46" t="s">
        <v>977</v>
      </c>
      <c r="D245" s="46" t="s">
        <v>132</v>
      </c>
      <c r="E245" s="46" t="s">
        <v>56</v>
      </c>
      <c r="F245" s="46" t="s">
        <v>978</v>
      </c>
      <c r="G245" s="61">
        <v>5</v>
      </c>
      <c r="H245" s="48">
        <f t="shared" si="36"/>
        <v>37.76</v>
      </c>
      <c r="I245" s="49">
        <f t="shared" si="40"/>
        <v>188.79999999999998</v>
      </c>
      <c r="J245" s="50">
        <v>0.23</v>
      </c>
      <c r="K245" s="51">
        <f t="shared" si="34"/>
        <v>43.424000000000007</v>
      </c>
      <c r="L245" s="51">
        <f t="shared" si="37"/>
        <v>232.22399999999999</v>
      </c>
      <c r="M245" s="52"/>
      <c r="N245" s="53" t="s">
        <v>114</v>
      </c>
      <c r="O245" s="52">
        <v>25.17</v>
      </c>
      <c r="P245" s="54" t="s">
        <v>24</v>
      </c>
      <c r="Q245" s="54"/>
      <c r="R245" s="55"/>
      <c r="S245" s="54">
        <v>27</v>
      </c>
      <c r="T245" s="56">
        <f t="shared" si="35"/>
        <v>135</v>
      </c>
      <c r="U245" s="52">
        <v>5</v>
      </c>
      <c r="V245" s="52">
        <v>32.72</v>
      </c>
      <c r="W245" s="52">
        <f t="shared" si="41"/>
        <v>32.72</v>
      </c>
      <c r="X245" s="52">
        <f t="shared" si="38"/>
        <v>163.6</v>
      </c>
      <c r="Y245" s="52"/>
      <c r="Z245" s="52">
        <v>23</v>
      </c>
      <c r="AA245" s="52">
        <f t="shared" si="39"/>
        <v>115</v>
      </c>
      <c r="AB245" s="52"/>
      <c r="AC245" s="52"/>
      <c r="AE245" s="57" t="s">
        <v>115</v>
      </c>
      <c r="AF245" s="57">
        <v>33.11</v>
      </c>
      <c r="AH245" s="57">
        <v>25.17</v>
      </c>
      <c r="AI245" s="58">
        <v>2</v>
      </c>
      <c r="AJ245" s="57">
        <v>23</v>
      </c>
      <c r="AK245" s="57">
        <f>AJ245*G245</f>
        <v>115</v>
      </c>
      <c r="AQ245" s="59">
        <v>0</v>
      </c>
      <c r="AR245" s="59">
        <v>0</v>
      </c>
      <c r="AS245" s="60">
        <v>0</v>
      </c>
    </row>
    <row r="246" spans="2:45" s="57" customFormat="1" ht="22.5">
      <c r="B246" s="46" t="s">
        <v>981</v>
      </c>
      <c r="C246" s="90" t="s">
        <v>982</v>
      </c>
      <c r="D246" s="64" t="s">
        <v>622</v>
      </c>
      <c r="E246" s="64" t="s">
        <v>56</v>
      </c>
      <c r="F246" s="84" t="s">
        <v>983</v>
      </c>
      <c r="G246" s="47">
        <v>1</v>
      </c>
      <c r="H246" s="48">
        <f t="shared" si="36"/>
        <v>49.85</v>
      </c>
      <c r="I246" s="49">
        <f t="shared" si="40"/>
        <v>49.85</v>
      </c>
      <c r="J246" s="50">
        <v>0.23</v>
      </c>
      <c r="K246" s="51">
        <f t="shared" si="34"/>
        <v>11.465499999999999</v>
      </c>
      <c r="L246" s="51">
        <f t="shared" si="37"/>
        <v>61.3155</v>
      </c>
      <c r="M246" s="52"/>
      <c r="N246" s="53" t="s">
        <v>114</v>
      </c>
      <c r="O246" s="91">
        <v>33.229999999999997</v>
      </c>
      <c r="P246" s="54" t="s">
        <v>24</v>
      </c>
      <c r="Q246" s="54"/>
      <c r="R246" s="55"/>
      <c r="S246" s="54">
        <v>36</v>
      </c>
      <c r="T246" s="56">
        <f t="shared" si="35"/>
        <v>36</v>
      </c>
      <c r="U246" s="52">
        <v>1</v>
      </c>
      <c r="V246" s="52">
        <v>52.95</v>
      </c>
      <c r="W246" s="52">
        <f>ROUND(AH246*1.15,2)</f>
        <v>52.95</v>
      </c>
      <c r="X246" s="52">
        <f t="shared" si="38"/>
        <v>52.95</v>
      </c>
      <c r="Y246" s="52"/>
      <c r="Z246" s="52">
        <v>37.200000000000003</v>
      </c>
      <c r="AA246" s="52">
        <f t="shared" si="39"/>
        <v>37.200000000000003</v>
      </c>
      <c r="AB246" s="52"/>
      <c r="AC246" s="52"/>
      <c r="AE246" s="57" t="s">
        <v>115</v>
      </c>
      <c r="AF246" s="57">
        <v>60.58</v>
      </c>
      <c r="AH246" s="57">
        <v>46.04</v>
      </c>
      <c r="AI246" s="58">
        <v>0</v>
      </c>
      <c r="AK246" s="57">
        <f>AH246*G246</f>
        <v>46.04</v>
      </c>
      <c r="AP246" s="57">
        <v>5</v>
      </c>
      <c r="AQ246" s="59">
        <v>0</v>
      </c>
      <c r="AR246" s="59">
        <v>0</v>
      </c>
      <c r="AS246" s="60">
        <v>0</v>
      </c>
    </row>
    <row r="247" spans="2:45" s="57" customFormat="1">
      <c r="B247" s="46" t="s">
        <v>984</v>
      </c>
      <c r="C247" s="46" t="s">
        <v>985</v>
      </c>
      <c r="D247" s="46" t="s">
        <v>132</v>
      </c>
      <c r="E247" s="46" t="s">
        <v>56</v>
      </c>
      <c r="F247" s="46" t="s">
        <v>986</v>
      </c>
      <c r="G247" s="61">
        <v>5</v>
      </c>
      <c r="H247" s="48">
        <f t="shared" si="36"/>
        <v>251.12</v>
      </c>
      <c r="I247" s="49">
        <f t="shared" si="40"/>
        <v>1255.5999999999999</v>
      </c>
      <c r="J247" s="50">
        <v>0.23</v>
      </c>
      <c r="K247" s="51">
        <f t="shared" si="34"/>
        <v>288.78800000000001</v>
      </c>
      <c r="L247" s="51">
        <f t="shared" si="37"/>
        <v>1544.3879999999999</v>
      </c>
      <c r="M247" s="52"/>
      <c r="N247" s="53" t="s">
        <v>50</v>
      </c>
      <c r="O247" s="52">
        <v>167.41</v>
      </c>
      <c r="P247" s="54" t="s">
        <v>64</v>
      </c>
      <c r="Q247" s="54">
        <v>159.6</v>
      </c>
      <c r="R247" s="55">
        <v>3</v>
      </c>
      <c r="S247" s="54">
        <v>170</v>
      </c>
      <c r="T247" s="56">
        <f t="shared" si="35"/>
        <v>850</v>
      </c>
      <c r="U247" s="52">
        <v>5</v>
      </c>
      <c r="V247" s="52">
        <v>221</v>
      </c>
      <c r="W247" s="52">
        <f t="shared" si="41"/>
        <v>221</v>
      </c>
      <c r="X247" s="52">
        <f t="shared" si="38"/>
        <v>1105</v>
      </c>
      <c r="Y247" s="52"/>
      <c r="Z247" s="52">
        <v>209.82</v>
      </c>
      <c r="AA247" s="52">
        <f t="shared" si="39"/>
        <v>1049.0999999999999</v>
      </c>
      <c r="AB247" s="52"/>
      <c r="AC247" s="52"/>
      <c r="AE247" s="57" t="s">
        <v>52</v>
      </c>
      <c r="AH247" s="57">
        <v>170</v>
      </c>
      <c r="AI247" s="58">
        <v>4</v>
      </c>
      <c r="AK247" s="57">
        <f>AH247*G247</f>
        <v>850</v>
      </c>
      <c r="AQ247" s="59">
        <v>0</v>
      </c>
      <c r="AR247" s="59">
        <v>0</v>
      </c>
      <c r="AS247" s="60">
        <v>0</v>
      </c>
    </row>
    <row r="248" spans="2:45" s="57" customFormat="1">
      <c r="B248" s="46" t="s">
        <v>987</v>
      </c>
      <c r="C248" s="46" t="s">
        <v>985</v>
      </c>
      <c r="D248" s="46" t="s">
        <v>112</v>
      </c>
      <c r="E248" s="46" t="s">
        <v>56</v>
      </c>
      <c r="F248" s="64" t="s">
        <v>986</v>
      </c>
      <c r="G248" s="77">
        <v>2</v>
      </c>
      <c r="H248" s="48">
        <f t="shared" si="36"/>
        <v>482.7</v>
      </c>
      <c r="I248" s="49">
        <f t="shared" si="40"/>
        <v>965.4</v>
      </c>
      <c r="J248" s="50">
        <v>0.23</v>
      </c>
      <c r="K248" s="51">
        <f t="shared" si="34"/>
        <v>222.04200000000003</v>
      </c>
      <c r="L248" s="51">
        <f t="shared" si="37"/>
        <v>1187.442</v>
      </c>
      <c r="M248" s="52"/>
      <c r="N248" s="53" t="s">
        <v>50</v>
      </c>
      <c r="O248" s="52">
        <v>321.8</v>
      </c>
      <c r="P248" s="54" t="s">
        <v>64</v>
      </c>
      <c r="Q248" s="54">
        <v>292.60000000000002</v>
      </c>
      <c r="R248" s="55"/>
      <c r="S248" s="54">
        <v>320</v>
      </c>
      <c r="T248" s="56">
        <f t="shared" si="35"/>
        <v>640</v>
      </c>
      <c r="U248" s="52">
        <v>5</v>
      </c>
      <c r="V248" s="52">
        <v>377</v>
      </c>
      <c r="W248" s="52">
        <f t="shared" si="41"/>
        <v>377</v>
      </c>
      <c r="X248" s="52">
        <f t="shared" si="38"/>
        <v>754</v>
      </c>
      <c r="Y248" s="52"/>
      <c r="Z248" s="52">
        <v>358.25</v>
      </c>
      <c r="AA248" s="52">
        <f t="shared" si="39"/>
        <v>716.5</v>
      </c>
      <c r="AB248" s="52"/>
      <c r="AC248" s="52"/>
      <c r="AE248" s="57" t="s">
        <v>52</v>
      </c>
      <c r="AH248" s="57">
        <v>290</v>
      </c>
      <c r="AI248" s="58">
        <v>1</v>
      </c>
      <c r="AK248" s="57">
        <f>AH248*G248</f>
        <v>580</v>
      </c>
      <c r="AQ248" s="59">
        <v>0</v>
      </c>
      <c r="AR248" s="59">
        <v>0</v>
      </c>
      <c r="AS248" s="60">
        <v>0</v>
      </c>
    </row>
    <row r="249" spans="2:45" s="57" customFormat="1">
      <c r="B249" s="46" t="s">
        <v>988</v>
      </c>
      <c r="C249" s="46" t="s">
        <v>985</v>
      </c>
      <c r="D249" s="46" t="s">
        <v>622</v>
      </c>
      <c r="E249" s="46" t="s">
        <v>56</v>
      </c>
      <c r="F249" s="64" t="s">
        <v>986</v>
      </c>
      <c r="G249" s="47">
        <v>4</v>
      </c>
      <c r="H249" s="48">
        <f t="shared" si="36"/>
        <v>128.58000000000001</v>
      </c>
      <c r="I249" s="49">
        <f t="shared" si="40"/>
        <v>514.32000000000005</v>
      </c>
      <c r="J249" s="50">
        <v>0.23</v>
      </c>
      <c r="K249" s="51">
        <f t="shared" si="34"/>
        <v>118.29359999999997</v>
      </c>
      <c r="L249" s="51">
        <f t="shared" si="37"/>
        <v>632.61360000000002</v>
      </c>
      <c r="M249" s="52"/>
      <c r="N249" s="53" t="s">
        <v>50</v>
      </c>
      <c r="O249" s="52">
        <v>85.72</v>
      </c>
      <c r="P249" s="54" t="s">
        <v>64</v>
      </c>
      <c r="Q249" s="54">
        <v>91.2</v>
      </c>
      <c r="R249" s="55">
        <v>9</v>
      </c>
      <c r="S249" s="54">
        <v>92</v>
      </c>
      <c r="T249" s="56">
        <f t="shared" si="35"/>
        <v>368</v>
      </c>
      <c r="U249" s="52">
        <v>4</v>
      </c>
      <c r="V249" s="52">
        <v>105.3</v>
      </c>
      <c r="W249" s="52">
        <f t="shared" si="41"/>
        <v>105.3</v>
      </c>
      <c r="X249" s="52">
        <f t="shared" si="38"/>
        <v>421.2</v>
      </c>
      <c r="Y249" s="52"/>
      <c r="Z249" s="52">
        <v>109.99</v>
      </c>
      <c r="AA249" s="52">
        <f t="shared" si="39"/>
        <v>439.96</v>
      </c>
      <c r="AB249" s="52"/>
      <c r="AC249" s="52"/>
      <c r="AE249" s="57" t="s">
        <v>52</v>
      </c>
      <c r="AH249" s="57">
        <v>81</v>
      </c>
      <c r="AI249" s="58">
        <v>2</v>
      </c>
      <c r="AK249" s="57">
        <f>AH249*G249</f>
        <v>324</v>
      </c>
      <c r="AQ249" s="59" t="s">
        <v>989</v>
      </c>
      <c r="AR249" s="60">
        <v>28.3185</v>
      </c>
      <c r="AS249" s="60">
        <v>141.5925</v>
      </c>
    </row>
    <row r="250" spans="2:45" s="57" customFormat="1">
      <c r="B250" s="46" t="s">
        <v>990</v>
      </c>
      <c r="C250" s="46" t="s">
        <v>985</v>
      </c>
      <c r="D250" s="46" t="s">
        <v>112</v>
      </c>
      <c r="E250" s="46" t="s">
        <v>56</v>
      </c>
      <c r="F250" s="64" t="s">
        <v>383</v>
      </c>
      <c r="G250" s="77">
        <v>1</v>
      </c>
      <c r="H250" s="65">
        <f t="shared" si="36"/>
        <v>507.78</v>
      </c>
      <c r="I250" s="49">
        <f t="shared" si="40"/>
        <v>507.78</v>
      </c>
      <c r="J250" s="50">
        <v>0.23</v>
      </c>
      <c r="K250" s="51">
        <f t="shared" si="34"/>
        <v>116.7894</v>
      </c>
      <c r="L250" s="51">
        <f t="shared" si="37"/>
        <v>624.56939999999997</v>
      </c>
      <c r="M250" s="52"/>
      <c r="N250" s="53" t="s">
        <v>58</v>
      </c>
      <c r="O250" s="52">
        <v>338.52</v>
      </c>
      <c r="P250" s="54" t="s">
        <v>59</v>
      </c>
      <c r="Q250" s="54"/>
      <c r="R250" s="55"/>
      <c r="S250" s="54">
        <v>340</v>
      </c>
      <c r="T250" s="56">
        <f t="shared" si="35"/>
        <v>340</v>
      </c>
      <c r="U250" s="52">
        <v>1</v>
      </c>
      <c r="V250" s="52">
        <v>369.97</v>
      </c>
      <c r="W250" s="52">
        <f>ROUND(AH250*1.2,2)</f>
        <v>369.97</v>
      </c>
      <c r="X250" s="52">
        <f t="shared" si="38"/>
        <v>369.97</v>
      </c>
      <c r="Y250" s="52">
        <v>0.2</v>
      </c>
      <c r="Z250" s="52">
        <v>331.2</v>
      </c>
      <c r="AA250" s="52">
        <f t="shared" si="39"/>
        <v>331.2</v>
      </c>
      <c r="AB250" s="52"/>
      <c r="AC250" s="52"/>
      <c r="AE250" s="57" t="s">
        <v>60</v>
      </c>
      <c r="AF250" s="57">
        <v>385.39</v>
      </c>
      <c r="AG250" s="62">
        <v>0.2</v>
      </c>
      <c r="AH250" s="57">
        <f>AF250*0.8</f>
        <v>308.31200000000001</v>
      </c>
      <c r="AI250" s="58">
        <v>0</v>
      </c>
      <c r="AK250" s="57">
        <f>AH250*G250</f>
        <v>308.31200000000001</v>
      </c>
      <c r="AQ250" s="59">
        <v>0</v>
      </c>
      <c r="AR250" s="59">
        <v>0</v>
      </c>
      <c r="AS250" s="60">
        <v>0</v>
      </c>
    </row>
    <row r="251" spans="2:45" s="57" customFormat="1" ht="22.5">
      <c r="B251" s="46" t="s">
        <v>991</v>
      </c>
      <c r="C251" s="64" t="s">
        <v>992</v>
      </c>
      <c r="D251" s="64" t="s">
        <v>328</v>
      </c>
      <c r="E251" s="64" t="s">
        <v>56</v>
      </c>
      <c r="F251" s="64" t="s">
        <v>993</v>
      </c>
      <c r="G251" s="77">
        <v>6</v>
      </c>
      <c r="H251" s="65">
        <v>375</v>
      </c>
      <c r="I251" s="49">
        <f t="shared" si="40"/>
        <v>2250</v>
      </c>
      <c r="J251" s="50">
        <v>0.23</v>
      </c>
      <c r="K251" s="51">
        <f t="shared" si="34"/>
        <v>517.5</v>
      </c>
      <c r="L251" s="51">
        <f t="shared" si="37"/>
        <v>2767.5</v>
      </c>
      <c r="M251" s="52" t="s">
        <v>237</v>
      </c>
      <c r="N251" s="53" t="s">
        <v>114</v>
      </c>
      <c r="O251" s="52">
        <v>475.66</v>
      </c>
      <c r="P251" s="54" t="s">
        <v>24</v>
      </c>
      <c r="Q251" s="54"/>
      <c r="R251" s="55"/>
      <c r="S251" s="54">
        <v>520</v>
      </c>
      <c r="T251" s="56">
        <f t="shared" si="35"/>
        <v>3120</v>
      </c>
      <c r="U251" s="52">
        <v>2</v>
      </c>
      <c r="V251" s="52">
        <v>332.96</v>
      </c>
      <c r="W251" s="52">
        <f>ROUND(AH251*0.7,2)</f>
        <v>332.96</v>
      </c>
      <c r="X251" s="52">
        <f t="shared" si="38"/>
        <v>1997.7599999999998</v>
      </c>
      <c r="Y251" s="52" t="s">
        <v>447</v>
      </c>
      <c r="Z251" s="52">
        <v>460</v>
      </c>
      <c r="AA251" s="52">
        <f t="shared" si="39"/>
        <v>2760</v>
      </c>
      <c r="AB251" s="52" t="s">
        <v>239</v>
      </c>
      <c r="AC251" s="52"/>
      <c r="AE251" s="57" t="s">
        <v>115</v>
      </c>
      <c r="AF251" s="57">
        <v>625.87</v>
      </c>
      <c r="AH251" s="57">
        <v>475.66</v>
      </c>
      <c r="AI251" s="58"/>
      <c r="AJ251" s="57">
        <v>460</v>
      </c>
      <c r="AK251" s="57">
        <f>AJ251*G251</f>
        <v>2760</v>
      </c>
      <c r="AQ251" s="59" t="s">
        <v>994</v>
      </c>
      <c r="AR251" s="60">
        <v>34.799999999999997</v>
      </c>
      <c r="AS251" s="60">
        <v>696</v>
      </c>
    </row>
    <row r="252" spans="2:45" s="57" customFormat="1" ht="22.5">
      <c r="B252" s="46" t="s">
        <v>995</v>
      </c>
      <c r="C252" s="46" t="s">
        <v>996</v>
      </c>
      <c r="D252" s="46" t="s">
        <v>967</v>
      </c>
      <c r="E252" s="46" t="s">
        <v>107</v>
      </c>
      <c r="F252" s="64" t="s">
        <v>997</v>
      </c>
      <c r="G252" s="47">
        <v>2</v>
      </c>
      <c r="H252" s="65">
        <f t="shared" si="36"/>
        <v>49.32</v>
      </c>
      <c r="I252" s="49">
        <f t="shared" si="40"/>
        <v>98.64</v>
      </c>
      <c r="J252" s="50">
        <v>0.23</v>
      </c>
      <c r="K252" s="51">
        <f t="shared" si="34"/>
        <v>22.687200000000004</v>
      </c>
      <c r="L252" s="51">
        <f t="shared" si="37"/>
        <v>121.3272</v>
      </c>
      <c r="M252" s="52" t="s">
        <v>969</v>
      </c>
      <c r="N252" s="53" t="s">
        <v>50</v>
      </c>
      <c r="O252" s="52">
        <v>32.880000000000003</v>
      </c>
      <c r="P252" s="54" t="s">
        <v>24</v>
      </c>
      <c r="Q252" s="54">
        <v>11.15</v>
      </c>
      <c r="R252" s="55"/>
      <c r="S252" s="54">
        <v>13</v>
      </c>
      <c r="T252" s="56">
        <f t="shared" si="35"/>
        <v>26</v>
      </c>
      <c r="U252" s="52">
        <v>5</v>
      </c>
      <c r="V252" s="52">
        <v>40.44</v>
      </c>
      <c r="W252" s="52">
        <f>ROUND(AH252*1.1,2)</f>
        <v>40.44</v>
      </c>
      <c r="X252" s="52">
        <f t="shared" si="38"/>
        <v>80.88</v>
      </c>
      <c r="Y252" s="52"/>
      <c r="Z252" s="52">
        <v>54</v>
      </c>
      <c r="AA252" s="52">
        <f t="shared" si="39"/>
        <v>108</v>
      </c>
      <c r="AB252" s="52"/>
      <c r="AC252" s="52"/>
      <c r="AE252" s="57" t="s">
        <v>52</v>
      </c>
      <c r="AH252" s="57">
        <v>36.76</v>
      </c>
      <c r="AI252" s="58">
        <v>0</v>
      </c>
      <c r="AK252" s="57">
        <f t="shared" ref="AK252:AK260" si="44">AH252*G252</f>
        <v>73.52</v>
      </c>
      <c r="AQ252" s="59">
        <v>0</v>
      </c>
      <c r="AR252" s="59">
        <v>0</v>
      </c>
      <c r="AS252" s="60">
        <v>0</v>
      </c>
    </row>
    <row r="253" spans="2:45" s="57" customFormat="1">
      <c r="B253" s="46" t="s">
        <v>998</v>
      </c>
      <c r="C253" s="46" t="s">
        <v>999</v>
      </c>
      <c r="D253" s="46" t="s">
        <v>132</v>
      </c>
      <c r="E253" s="46" t="s">
        <v>56</v>
      </c>
      <c r="F253" s="64" t="s">
        <v>1000</v>
      </c>
      <c r="G253" s="47">
        <v>4</v>
      </c>
      <c r="H253" s="48">
        <f t="shared" si="36"/>
        <v>57.48</v>
      </c>
      <c r="I253" s="49">
        <f t="shared" si="40"/>
        <v>229.92</v>
      </c>
      <c r="J253" s="50">
        <v>0.23</v>
      </c>
      <c r="K253" s="51">
        <f t="shared" si="34"/>
        <v>52.88160000000002</v>
      </c>
      <c r="L253" s="51">
        <f t="shared" si="37"/>
        <v>282.80160000000001</v>
      </c>
      <c r="M253" s="52"/>
      <c r="N253" s="53" t="s">
        <v>50</v>
      </c>
      <c r="O253" s="52">
        <v>38.32</v>
      </c>
      <c r="P253" s="54" t="s">
        <v>64</v>
      </c>
      <c r="Q253" s="54">
        <v>16.68</v>
      </c>
      <c r="R253" s="55">
        <v>4</v>
      </c>
      <c r="S253" s="54">
        <v>18</v>
      </c>
      <c r="T253" s="56">
        <f t="shared" si="35"/>
        <v>72</v>
      </c>
      <c r="U253" s="52">
        <v>4</v>
      </c>
      <c r="V253" s="52">
        <v>50.7</v>
      </c>
      <c r="W253" s="52">
        <f t="shared" si="41"/>
        <v>50.7</v>
      </c>
      <c r="X253" s="52">
        <f t="shared" si="38"/>
        <v>202.8</v>
      </c>
      <c r="Y253" s="52"/>
      <c r="Z253" s="52">
        <v>22.8</v>
      </c>
      <c r="AA253" s="52">
        <f t="shared" si="39"/>
        <v>91.2</v>
      </c>
      <c r="AB253" s="52"/>
      <c r="AC253" s="52"/>
      <c r="AE253" s="57" t="s">
        <v>52</v>
      </c>
      <c r="AH253" s="57">
        <v>39</v>
      </c>
      <c r="AI253" s="58">
        <v>1</v>
      </c>
      <c r="AK253" s="57">
        <f t="shared" si="44"/>
        <v>156</v>
      </c>
      <c r="AP253" s="57">
        <v>22</v>
      </c>
      <c r="AQ253" s="59">
        <v>0</v>
      </c>
      <c r="AR253" s="59">
        <v>0</v>
      </c>
      <c r="AS253" s="60">
        <v>0</v>
      </c>
    </row>
    <row r="254" spans="2:45" s="57" customFormat="1" ht="22.5">
      <c r="B254" s="46" t="s">
        <v>1001</v>
      </c>
      <c r="C254" s="46" t="s">
        <v>1002</v>
      </c>
      <c r="D254" s="46" t="s">
        <v>967</v>
      </c>
      <c r="E254" s="46" t="s">
        <v>107</v>
      </c>
      <c r="F254" s="64" t="s">
        <v>1003</v>
      </c>
      <c r="G254" s="47">
        <v>2</v>
      </c>
      <c r="H254" s="48">
        <f t="shared" si="36"/>
        <v>39.53</v>
      </c>
      <c r="I254" s="49">
        <f t="shared" si="40"/>
        <v>79.06</v>
      </c>
      <c r="J254" s="50">
        <v>0.23</v>
      </c>
      <c r="K254" s="51">
        <f t="shared" si="34"/>
        <v>18.183800000000005</v>
      </c>
      <c r="L254" s="51">
        <f t="shared" si="37"/>
        <v>97.243800000000007</v>
      </c>
      <c r="M254" s="52"/>
      <c r="N254" s="53" t="s">
        <v>50</v>
      </c>
      <c r="O254" s="52">
        <v>26.35</v>
      </c>
      <c r="P254" s="54" t="s">
        <v>64</v>
      </c>
      <c r="Q254" s="54">
        <v>7.85</v>
      </c>
      <c r="R254" s="55"/>
      <c r="S254" s="54">
        <v>9</v>
      </c>
      <c r="T254" s="56">
        <f t="shared" si="35"/>
        <v>18</v>
      </c>
      <c r="U254" s="52">
        <v>5</v>
      </c>
      <c r="V254" s="52">
        <v>34.11</v>
      </c>
      <c r="W254" s="52">
        <f t="shared" si="41"/>
        <v>34.11</v>
      </c>
      <c r="X254" s="52">
        <f t="shared" si="38"/>
        <v>68.22</v>
      </c>
      <c r="Y254" s="52"/>
      <c r="Z254" s="52">
        <v>18.53</v>
      </c>
      <c r="AA254" s="52">
        <f t="shared" si="39"/>
        <v>37.06</v>
      </c>
      <c r="AB254" s="52"/>
      <c r="AC254" s="52"/>
      <c r="AE254" s="57" t="s">
        <v>52</v>
      </c>
      <c r="AH254" s="57">
        <v>26.24</v>
      </c>
      <c r="AI254" s="58">
        <v>0</v>
      </c>
      <c r="AK254" s="57">
        <f t="shared" si="44"/>
        <v>52.48</v>
      </c>
      <c r="AP254" s="57">
        <v>26</v>
      </c>
      <c r="AQ254" s="59">
        <v>0</v>
      </c>
      <c r="AR254" s="59">
        <v>0</v>
      </c>
      <c r="AS254" s="60">
        <v>0</v>
      </c>
    </row>
    <row r="255" spans="2:45" s="57" customFormat="1">
      <c r="B255" s="46" t="s">
        <v>1004</v>
      </c>
      <c r="C255" s="46" t="s">
        <v>1005</v>
      </c>
      <c r="D255" s="46" t="s">
        <v>132</v>
      </c>
      <c r="E255" s="46" t="s">
        <v>56</v>
      </c>
      <c r="F255" s="46" t="s">
        <v>1006</v>
      </c>
      <c r="G255" s="61">
        <v>3</v>
      </c>
      <c r="H255" s="48">
        <f>ROUND(O255*1.1,2)</f>
        <v>131.25</v>
      </c>
      <c r="I255" s="49">
        <f t="shared" si="40"/>
        <v>393.75</v>
      </c>
      <c r="J255" s="50">
        <v>0.23</v>
      </c>
      <c r="K255" s="51">
        <f t="shared" si="34"/>
        <v>90.5625</v>
      </c>
      <c r="L255" s="51">
        <f t="shared" si="37"/>
        <v>484.3125</v>
      </c>
      <c r="M255" s="52"/>
      <c r="N255" s="53" t="s">
        <v>50</v>
      </c>
      <c r="O255" s="52">
        <v>119.32</v>
      </c>
      <c r="P255" s="54" t="s">
        <v>64</v>
      </c>
      <c r="Q255" s="54">
        <v>81.239999999999995</v>
      </c>
      <c r="R255" s="55"/>
      <c r="S255" s="54">
        <v>90</v>
      </c>
      <c r="T255" s="56">
        <f t="shared" si="35"/>
        <v>270</v>
      </c>
      <c r="U255" s="52">
        <v>3</v>
      </c>
      <c r="V255" s="52">
        <v>129.35</v>
      </c>
      <c r="W255" s="52">
        <f t="shared" si="41"/>
        <v>129.35</v>
      </c>
      <c r="X255" s="52">
        <f t="shared" si="38"/>
        <v>388.04999999999995</v>
      </c>
      <c r="Y255" s="52"/>
      <c r="Z255" s="52">
        <v>82.13</v>
      </c>
      <c r="AA255" s="52">
        <f t="shared" si="39"/>
        <v>246.39</v>
      </c>
      <c r="AB255" s="52"/>
      <c r="AC255" s="52"/>
      <c r="AE255" s="57" t="s">
        <v>52</v>
      </c>
      <c r="AH255" s="57">
        <v>99.5</v>
      </c>
      <c r="AI255" s="58">
        <v>0</v>
      </c>
      <c r="AK255" s="57">
        <f t="shared" si="44"/>
        <v>298.5</v>
      </c>
      <c r="AP255" s="57">
        <v>2</v>
      </c>
      <c r="AQ255" s="59" t="s">
        <v>1007</v>
      </c>
      <c r="AR255" s="60">
        <v>23</v>
      </c>
      <c r="AS255" s="60">
        <v>115</v>
      </c>
    </row>
    <row r="256" spans="2:45" s="57" customFormat="1">
      <c r="B256" s="46" t="s">
        <v>1008</v>
      </c>
      <c r="C256" s="46" t="s">
        <v>1009</v>
      </c>
      <c r="D256" s="46" t="s">
        <v>112</v>
      </c>
      <c r="E256" s="46" t="s">
        <v>56</v>
      </c>
      <c r="F256" s="64" t="s">
        <v>1010</v>
      </c>
      <c r="G256" s="47">
        <v>2</v>
      </c>
      <c r="H256" s="48">
        <f t="shared" si="36"/>
        <v>88.76</v>
      </c>
      <c r="I256" s="49">
        <f t="shared" si="40"/>
        <v>177.52</v>
      </c>
      <c r="J256" s="50">
        <v>0.23</v>
      </c>
      <c r="K256" s="51">
        <f t="shared" si="34"/>
        <v>40.829599999999999</v>
      </c>
      <c r="L256" s="51">
        <f t="shared" si="37"/>
        <v>218.34960000000001</v>
      </c>
      <c r="M256" s="52"/>
      <c r="N256" s="53" t="s">
        <v>50</v>
      </c>
      <c r="O256" s="52">
        <v>59.17</v>
      </c>
      <c r="P256" s="54" t="s">
        <v>64</v>
      </c>
      <c r="Q256" s="54">
        <v>46.73</v>
      </c>
      <c r="R256" s="55"/>
      <c r="S256" s="54">
        <v>50</v>
      </c>
      <c r="T256" s="56">
        <f t="shared" si="35"/>
        <v>100</v>
      </c>
      <c r="U256" s="52">
        <v>10</v>
      </c>
      <c r="V256" s="52">
        <v>82.07</v>
      </c>
      <c r="W256" s="52">
        <f t="shared" si="41"/>
        <v>82.07</v>
      </c>
      <c r="X256" s="52">
        <f t="shared" si="38"/>
        <v>164.14</v>
      </c>
      <c r="Y256" s="52"/>
      <c r="Z256" s="52">
        <v>56.3</v>
      </c>
      <c r="AA256" s="52">
        <f t="shared" si="39"/>
        <v>112.6</v>
      </c>
      <c r="AB256" s="52"/>
      <c r="AC256" s="52"/>
      <c r="AE256" s="57" t="s">
        <v>52</v>
      </c>
      <c r="AH256" s="57">
        <v>63.13</v>
      </c>
      <c r="AI256" s="58">
        <v>5</v>
      </c>
      <c r="AK256" s="57">
        <f t="shared" si="44"/>
        <v>126.26</v>
      </c>
      <c r="AP256" s="57">
        <v>0</v>
      </c>
      <c r="AQ256" s="59" t="s">
        <v>1011</v>
      </c>
      <c r="AR256" s="60">
        <v>42.600999999999999</v>
      </c>
      <c r="AS256" s="60">
        <v>852.02</v>
      </c>
    </row>
    <row r="257" spans="2:45" s="57" customFormat="1" ht="22.5">
      <c r="B257" s="46" t="s">
        <v>1012</v>
      </c>
      <c r="C257" s="46" t="s">
        <v>1009</v>
      </c>
      <c r="D257" s="46" t="s">
        <v>112</v>
      </c>
      <c r="E257" s="46" t="s">
        <v>440</v>
      </c>
      <c r="F257" s="64" t="s">
        <v>1013</v>
      </c>
      <c r="G257" s="47">
        <v>2</v>
      </c>
      <c r="H257" s="48">
        <f t="shared" si="36"/>
        <v>59.24</v>
      </c>
      <c r="I257" s="49">
        <f t="shared" si="40"/>
        <v>118.48</v>
      </c>
      <c r="J257" s="50">
        <v>0.23</v>
      </c>
      <c r="K257" s="51">
        <f t="shared" si="34"/>
        <v>27.250399999999999</v>
      </c>
      <c r="L257" s="51">
        <f t="shared" si="37"/>
        <v>145.7304</v>
      </c>
      <c r="M257" s="52"/>
      <c r="N257" s="53" t="s">
        <v>114</v>
      </c>
      <c r="O257" s="52">
        <v>39.49</v>
      </c>
      <c r="P257" s="54" t="s">
        <v>24</v>
      </c>
      <c r="Q257" s="54"/>
      <c r="R257" s="55"/>
      <c r="S257" s="54">
        <v>38</v>
      </c>
      <c r="T257" s="56">
        <f t="shared" si="35"/>
        <v>76</v>
      </c>
      <c r="U257" s="52"/>
      <c r="V257" s="52"/>
      <c r="W257" s="52"/>
      <c r="X257" s="52"/>
      <c r="Y257" s="52"/>
      <c r="Z257" s="52"/>
      <c r="AA257" s="52"/>
      <c r="AB257" s="52"/>
      <c r="AC257" s="52"/>
      <c r="AI257" s="58"/>
      <c r="AQ257" s="59"/>
      <c r="AR257" s="60"/>
      <c r="AS257" s="60"/>
    </row>
    <row r="258" spans="2:45" s="57" customFormat="1">
      <c r="B258" s="46" t="s">
        <v>1014</v>
      </c>
      <c r="C258" s="46" t="s">
        <v>1015</v>
      </c>
      <c r="D258" s="46" t="s">
        <v>112</v>
      </c>
      <c r="E258" s="46" t="s">
        <v>56</v>
      </c>
      <c r="F258" s="64" t="s">
        <v>1016</v>
      </c>
      <c r="G258" s="47">
        <v>1</v>
      </c>
      <c r="H258" s="48">
        <f>ROUND(O258*1.1,2)</f>
        <v>418.74</v>
      </c>
      <c r="I258" s="49">
        <f t="shared" si="40"/>
        <v>418.74</v>
      </c>
      <c r="J258" s="50">
        <v>0.23</v>
      </c>
      <c r="K258" s="51">
        <f t="shared" si="34"/>
        <v>96.310200000000009</v>
      </c>
      <c r="L258" s="51">
        <f t="shared" si="37"/>
        <v>515.05020000000002</v>
      </c>
      <c r="M258" s="52"/>
      <c r="N258" s="53" t="s">
        <v>50</v>
      </c>
      <c r="O258" s="52">
        <v>380.67</v>
      </c>
      <c r="P258" s="54" t="s">
        <v>64</v>
      </c>
      <c r="Q258" s="54">
        <v>197.38</v>
      </c>
      <c r="R258" s="55"/>
      <c r="S258" s="54">
        <v>210</v>
      </c>
      <c r="T258" s="56">
        <f t="shared" si="35"/>
        <v>210</v>
      </c>
      <c r="U258" s="52">
        <v>1</v>
      </c>
      <c r="V258" s="52">
        <v>250</v>
      </c>
      <c r="W258" s="52">
        <v>250</v>
      </c>
      <c r="X258" s="52">
        <f t="shared" si="38"/>
        <v>250</v>
      </c>
      <c r="Y258" s="52" t="s">
        <v>1017</v>
      </c>
      <c r="Z258" s="52">
        <v>326.33999999999997</v>
      </c>
      <c r="AA258" s="52">
        <f t="shared" si="39"/>
        <v>326.33999999999997</v>
      </c>
      <c r="AB258" s="52"/>
      <c r="AC258" s="52"/>
      <c r="AD258" s="57" t="s">
        <v>764</v>
      </c>
      <c r="AE258" s="57" t="s">
        <v>52</v>
      </c>
      <c r="AH258" s="57">
        <v>450.02</v>
      </c>
      <c r="AI258" s="58">
        <v>0</v>
      </c>
      <c r="AK258" s="57">
        <f t="shared" si="44"/>
        <v>450.02</v>
      </c>
      <c r="AP258" s="57">
        <v>4</v>
      </c>
      <c r="AQ258" s="59">
        <v>0</v>
      </c>
      <c r="AR258" s="59">
        <v>0</v>
      </c>
      <c r="AS258" s="60">
        <v>0</v>
      </c>
    </row>
    <row r="259" spans="2:45" s="57" customFormat="1">
      <c r="B259" s="46" t="s">
        <v>1018</v>
      </c>
      <c r="C259" s="46" t="s">
        <v>1019</v>
      </c>
      <c r="D259" s="46" t="s">
        <v>622</v>
      </c>
      <c r="E259" s="46" t="s">
        <v>56</v>
      </c>
      <c r="F259" s="64" t="s">
        <v>1020</v>
      </c>
      <c r="G259" s="47">
        <v>4</v>
      </c>
      <c r="H259" s="48">
        <f t="shared" si="36"/>
        <v>84.15</v>
      </c>
      <c r="I259" s="49">
        <f t="shared" si="40"/>
        <v>336.6</v>
      </c>
      <c r="J259" s="50">
        <v>0.23</v>
      </c>
      <c r="K259" s="51">
        <f t="shared" si="34"/>
        <v>77.418000000000006</v>
      </c>
      <c r="L259" s="51">
        <f t="shared" si="37"/>
        <v>414.01800000000003</v>
      </c>
      <c r="M259" s="52"/>
      <c r="N259" s="53" t="s">
        <v>50</v>
      </c>
      <c r="O259" s="52">
        <v>56.1</v>
      </c>
      <c r="P259" s="54" t="s">
        <v>64</v>
      </c>
      <c r="Q259" s="54">
        <v>30.72</v>
      </c>
      <c r="R259" s="55">
        <v>7</v>
      </c>
      <c r="S259" s="54">
        <v>34</v>
      </c>
      <c r="T259" s="56">
        <f t="shared" si="35"/>
        <v>136</v>
      </c>
      <c r="U259" s="52">
        <v>4</v>
      </c>
      <c r="V259" s="52">
        <v>60.81</v>
      </c>
      <c r="W259" s="52">
        <f t="shared" si="41"/>
        <v>60.81</v>
      </c>
      <c r="X259" s="52">
        <f t="shared" si="38"/>
        <v>243.24</v>
      </c>
      <c r="Y259" s="52"/>
      <c r="Z259" s="52">
        <v>46.8</v>
      </c>
      <c r="AA259" s="52">
        <f t="shared" si="39"/>
        <v>187.2</v>
      </c>
      <c r="AB259" s="52"/>
      <c r="AC259" s="52"/>
      <c r="AE259" s="57" t="s">
        <v>52</v>
      </c>
      <c r="AH259" s="57">
        <v>46.78</v>
      </c>
      <c r="AI259" s="58">
        <v>2</v>
      </c>
      <c r="AK259" s="57">
        <f t="shared" si="44"/>
        <v>187.12</v>
      </c>
      <c r="AP259" s="57">
        <v>1</v>
      </c>
      <c r="AQ259" s="59">
        <v>0</v>
      </c>
      <c r="AR259" s="59">
        <v>0</v>
      </c>
      <c r="AS259" s="60">
        <v>0</v>
      </c>
    </row>
    <row r="260" spans="2:45" s="57" customFormat="1" ht="22.5">
      <c r="B260" s="46" t="s">
        <v>1021</v>
      </c>
      <c r="C260" s="46" t="s">
        <v>1022</v>
      </c>
      <c r="D260" s="46" t="s">
        <v>967</v>
      </c>
      <c r="E260" s="46" t="s">
        <v>107</v>
      </c>
      <c r="F260" s="64" t="s">
        <v>1023</v>
      </c>
      <c r="G260" s="47">
        <v>5</v>
      </c>
      <c r="H260" s="48">
        <f>ROUND(O260*1.3,2)</f>
        <v>26.9</v>
      </c>
      <c r="I260" s="49">
        <f t="shared" si="40"/>
        <v>134.5</v>
      </c>
      <c r="J260" s="50">
        <v>0.23</v>
      </c>
      <c r="K260" s="51">
        <f t="shared" si="34"/>
        <v>30.935000000000002</v>
      </c>
      <c r="L260" s="51">
        <f t="shared" si="37"/>
        <v>165.435</v>
      </c>
      <c r="M260" s="52" t="s">
        <v>969</v>
      </c>
      <c r="N260" s="53" t="s">
        <v>50</v>
      </c>
      <c r="O260" s="52">
        <v>20.69</v>
      </c>
      <c r="P260" s="54" t="s">
        <v>24</v>
      </c>
      <c r="Q260" s="54">
        <v>11.1</v>
      </c>
      <c r="R260" s="55"/>
      <c r="S260" s="54">
        <v>12</v>
      </c>
      <c r="T260" s="56">
        <f t="shared" si="35"/>
        <v>60</v>
      </c>
      <c r="U260" s="52">
        <v>5</v>
      </c>
      <c r="V260" s="52">
        <v>30.55</v>
      </c>
      <c r="W260" s="52">
        <f t="shared" si="41"/>
        <v>30.55</v>
      </c>
      <c r="X260" s="52">
        <f t="shared" si="38"/>
        <v>152.75</v>
      </c>
      <c r="Y260" s="52"/>
      <c r="Z260" s="52">
        <v>48</v>
      </c>
      <c r="AA260" s="52">
        <f t="shared" si="39"/>
        <v>240</v>
      </c>
      <c r="AB260" s="52"/>
      <c r="AC260" s="52"/>
      <c r="AE260" s="57" t="s">
        <v>52</v>
      </c>
      <c r="AH260" s="57">
        <v>23.5</v>
      </c>
      <c r="AI260" s="58">
        <v>0</v>
      </c>
      <c r="AK260" s="57">
        <f t="shared" si="44"/>
        <v>117.5</v>
      </c>
      <c r="AP260" s="57">
        <v>2</v>
      </c>
      <c r="AQ260" s="59">
        <v>0</v>
      </c>
      <c r="AR260" s="59">
        <v>0</v>
      </c>
      <c r="AS260" s="60">
        <v>0</v>
      </c>
    </row>
    <row r="261" spans="2:45" s="57" customFormat="1" ht="22.5">
      <c r="B261" s="46" t="s">
        <v>1024</v>
      </c>
      <c r="C261" s="46" t="s">
        <v>1025</v>
      </c>
      <c r="D261" s="46" t="s">
        <v>132</v>
      </c>
      <c r="E261" s="46" t="s">
        <v>56</v>
      </c>
      <c r="F261" s="46" t="s">
        <v>1026</v>
      </c>
      <c r="G261" s="61">
        <v>5</v>
      </c>
      <c r="H261" s="48">
        <f t="shared" si="36"/>
        <v>20.9</v>
      </c>
      <c r="I261" s="49">
        <f t="shared" si="40"/>
        <v>104.5</v>
      </c>
      <c r="J261" s="50">
        <v>0.23</v>
      </c>
      <c r="K261" s="51">
        <f t="shared" si="34"/>
        <v>24.034999999999997</v>
      </c>
      <c r="L261" s="51">
        <f t="shared" si="37"/>
        <v>128.535</v>
      </c>
      <c r="M261" s="52"/>
      <c r="N261" s="53" t="s">
        <v>114</v>
      </c>
      <c r="O261" s="52">
        <v>13.93</v>
      </c>
      <c r="P261" s="54" t="s">
        <v>24</v>
      </c>
      <c r="Q261" s="54"/>
      <c r="R261" s="55">
        <v>2</v>
      </c>
      <c r="S261" s="54">
        <v>15</v>
      </c>
      <c r="T261" s="56">
        <f t="shared" si="35"/>
        <v>75</v>
      </c>
      <c r="U261" s="52">
        <v>5</v>
      </c>
      <c r="V261" s="52">
        <v>18.11</v>
      </c>
      <c r="W261" s="52">
        <f t="shared" si="41"/>
        <v>18.11</v>
      </c>
      <c r="X261" s="52">
        <f t="shared" si="38"/>
        <v>90.55</v>
      </c>
      <c r="Y261" s="52"/>
      <c r="Z261" s="52">
        <v>13</v>
      </c>
      <c r="AA261" s="52">
        <f t="shared" si="39"/>
        <v>65</v>
      </c>
      <c r="AB261" s="52"/>
      <c r="AC261" s="52"/>
      <c r="AE261" s="57" t="s">
        <v>115</v>
      </c>
      <c r="AF261" s="57">
        <v>18.34</v>
      </c>
      <c r="AH261" s="57">
        <v>13.93</v>
      </c>
      <c r="AI261" s="58">
        <v>4</v>
      </c>
      <c r="AJ261" s="57">
        <v>12.3</v>
      </c>
      <c r="AK261" s="57">
        <f>AJ261*G261</f>
        <v>61.5</v>
      </c>
      <c r="AP261" s="57">
        <v>0</v>
      </c>
      <c r="AQ261" s="59" t="s">
        <v>1027</v>
      </c>
      <c r="AR261" s="60">
        <v>170</v>
      </c>
      <c r="AS261" s="60">
        <v>2550</v>
      </c>
    </row>
    <row r="262" spans="2:45" s="57" customFormat="1" ht="22.5">
      <c r="B262" s="46" t="s">
        <v>1028</v>
      </c>
      <c r="C262" s="46" t="s">
        <v>1025</v>
      </c>
      <c r="D262" s="46" t="s">
        <v>112</v>
      </c>
      <c r="E262" s="46" t="s">
        <v>56</v>
      </c>
      <c r="F262" s="46" t="s">
        <v>1026</v>
      </c>
      <c r="G262" s="61">
        <v>20</v>
      </c>
      <c r="H262" s="48">
        <f t="shared" si="36"/>
        <v>30.06</v>
      </c>
      <c r="I262" s="49">
        <f t="shared" si="40"/>
        <v>601.19999999999993</v>
      </c>
      <c r="J262" s="50">
        <v>0.23</v>
      </c>
      <c r="K262" s="51">
        <f t="shared" si="34"/>
        <v>138.27599999999995</v>
      </c>
      <c r="L262" s="51">
        <f t="shared" si="37"/>
        <v>739.47599999999989</v>
      </c>
      <c r="M262" s="52"/>
      <c r="N262" s="53" t="s">
        <v>114</v>
      </c>
      <c r="O262" s="52">
        <v>20.04</v>
      </c>
      <c r="P262" s="54" t="s">
        <v>24</v>
      </c>
      <c r="Q262" s="54"/>
      <c r="R262" s="55">
        <v>45</v>
      </c>
      <c r="S262" s="54">
        <v>22</v>
      </c>
      <c r="T262" s="56">
        <f t="shared" si="35"/>
        <v>440</v>
      </c>
      <c r="U262" s="52">
        <v>20</v>
      </c>
      <c r="V262" s="52">
        <v>26.05</v>
      </c>
      <c r="W262" s="52">
        <f t="shared" si="41"/>
        <v>26.05</v>
      </c>
      <c r="X262" s="52">
        <f t="shared" si="38"/>
        <v>521</v>
      </c>
      <c r="Y262" s="52"/>
      <c r="Z262" s="52">
        <v>18</v>
      </c>
      <c r="AA262" s="52">
        <f t="shared" si="39"/>
        <v>360</v>
      </c>
      <c r="AB262" s="52"/>
      <c r="AC262" s="52"/>
      <c r="AE262" s="57" t="s">
        <v>115</v>
      </c>
      <c r="AF262" s="57">
        <v>26.37</v>
      </c>
      <c r="AH262" s="57">
        <v>20.04</v>
      </c>
      <c r="AI262" s="58">
        <v>20</v>
      </c>
      <c r="AJ262" s="57">
        <v>18</v>
      </c>
      <c r="AK262" s="57">
        <f>AJ262*G262</f>
        <v>360</v>
      </c>
      <c r="AP262" s="57">
        <v>0</v>
      </c>
      <c r="AQ262" s="59" t="s">
        <v>1029</v>
      </c>
      <c r="AR262" s="60">
        <v>290</v>
      </c>
      <c r="AS262" s="60">
        <v>4350</v>
      </c>
    </row>
    <row r="263" spans="2:45" s="57" customFormat="1" ht="22.5">
      <c r="B263" s="46" t="s">
        <v>1030</v>
      </c>
      <c r="C263" s="46" t="s">
        <v>1031</v>
      </c>
      <c r="D263" s="66" t="s">
        <v>235</v>
      </c>
      <c r="E263" s="46" t="s">
        <v>88</v>
      </c>
      <c r="F263" s="46" t="s">
        <v>1026</v>
      </c>
      <c r="G263" s="67">
        <v>2</v>
      </c>
      <c r="H263" s="48">
        <f t="shared" si="36"/>
        <v>7.34</v>
      </c>
      <c r="I263" s="49">
        <f t="shared" si="40"/>
        <v>14.68</v>
      </c>
      <c r="J263" s="50">
        <v>0.23</v>
      </c>
      <c r="K263" s="51">
        <f t="shared" si="34"/>
        <v>3.3764000000000003</v>
      </c>
      <c r="L263" s="51">
        <f t="shared" si="37"/>
        <v>18.0564</v>
      </c>
      <c r="M263" s="52"/>
      <c r="N263" s="53" t="s">
        <v>114</v>
      </c>
      <c r="O263" s="52">
        <v>4.8899999999999997</v>
      </c>
      <c r="P263" s="54" t="s">
        <v>24</v>
      </c>
      <c r="Q263" s="54"/>
      <c r="R263" s="55"/>
      <c r="S263" s="54">
        <v>5.5</v>
      </c>
      <c r="T263" s="56">
        <f t="shared" si="35"/>
        <v>11</v>
      </c>
      <c r="U263" s="52">
        <v>2</v>
      </c>
      <c r="V263" s="52">
        <v>6.36</v>
      </c>
      <c r="W263" s="52">
        <f t="shared" si="41"/>
        <v>6.36</v>
      </c>
      <c r="X263" s="52">
        <f t="shared" si="38"/>
        <v>12.72</v>
      </c>
      <c r="Y263" s="52"/>
      <c r="Z263" s="52">
        <v>5.4</v>
      </c>
      <c r="AA263" s="52">
        <f t="shared" si="39"/>
        <v>10.8</v>
      </c>
      <c r="AB263" s="52"/>
      <c r="AC263" s="52"/>
      <c r="AE263" s="57" t="s">
        <v>115</v>
      </c>
      <c r="AF263" s="57">
        <v>6.43</v>
      </c>
      <c r="AH263" s="57">
        <v>4.8899999999999997</v>
      </c>
      <c r="AI263" s="58">
        <v>0</v>
      </c>
      <c r="AK263" s="57">
        <f t="shared" ref="AK263:AK298" si="45">AH263*G263</f>
        <v>9.7799999999999994</v>
      </c>
      <c r="AP263" s="57">
        <v>1</v>
      </c>
      <c r="AQ263" s="59" t="s">
        <v>1032</v>
      </c>
      <c r="AR263" s="60">
        <v>81</v>
      </c>
      <c r="AS263" s="60">
        <v>810</v>
      </c>
    </row>
    <row r="264" spans="2:45" s="57" customFormat="1">
      <c r="B264" s="46" t="s">
        <v>1033</v>
      </c>
      <c r="C264" s="46" t="s">
        <v>1025</v>
      </c>
      <c r="D264" s="46" t="s">
        <v>112</v>
      </c>
      <c r="E264" s="46" t="s">
        <v>56</v>
      </c>
      <c r="F264" s="46" t="s">
        <v>383</v>
      </c>
      <c r="G264" s="61">
        <v>2</v>
      </c>
      <c r="H264" s="48">
        <f>ROUND(O264*1.2,2)</f>
        <v>122.9</v>
      </c>
      <c r="I264" s="49">
        <f t="shared" si="40"/>
        <v>245.8</v>
      </c>
      <c r="J264" s="50">
        <v>0.23</v>
      </c>
      <c r="K264" s="51">
        <f t="shared" si="34"/>
        <v>56.533999999999992</v>
      </c>
      <c r="L264" s="51">
        <f t="shared" si="37"/>
        <v>302.334</v>
      </c>
      <c r="M264" s="52"/>
      <c r="N264" s="53" t="s">
        <v>58</v>
      </c>
      <c r="O264" s="52">
        <v>102.42</v>
      </c>
      <c r="P264" s="54" t="s">
        <v>59</v>
      </c>
      <c r="Q264" s="54"/>
      <c r="R264" s="55"/>
      <c r="S264" s="54">
        <v>105</v>
      </c>
      <c r="T264" s="56">
        <f t="shared" si="35"/>
        <v>210</v>
      </c>
      <c r="U264" s="52">
        <v>2</v>
      </c>
      <c r="V264" s="52">
        <v>96.1</v>
      </c>
      <c r="W264" s="52">
        <f>ROUND(AH264*1.1,2)</f>
        <v>96.1</v>
      </c>
      <c r="X264" s="52">
        <f t="shared" si="38"/>
        <v>192.2</v>
      </c>
      <c r="Y264" s="52">
        <v>0.1</v>
      </c>
      <c r="Z264" s="52">
        <v>105.25</v>
      </c>
      <c r="AA264" s="52">
        <f t="shared" si="39"/>
        <v>210.5</v>
      </c>
      <c r="AB264" s="52"/>
      <c r="AC264" s="52"/>
      <c r="AE264" s="57" t="s">
        <v>60</v>
      </c>
      <c r="AF264" s="57">
        <v>109.2</v>
      </c>
      <c r="AG264" s="62">
        <v>0.2</v>
      </c>
      <c r="AH264" s="57">
        <f>AF264*0.8</f>
        <v>87.360000000000014</v>
      </c>
      <c r="AI264" s="58">
        <v>0</v>
      </c>
      <c r="AK264" s="57">
        <f t="shared" si="45"/>
        <v>174.72000000000003</v>
      </c>
      <c r="AP264" s="57">
        <v>0</v>
      </c>
      <c r="AQ264" s="59">
        <v>0</v>
      </c>
      <c r="AR264" s="59">
        <v>0</v>
      </c>
      <c r="AS264" s="60">
        <v>0</v>
      </c>
    </row>
    <row r="265" spans="2:45" s="57" customFormat="1" ht="22.5">
      <c r="B265" s="46" t="s">
        <v>1034</v>
      </c>
      <c r="C265" s="46" t="s">
        <v>1025</v>
      </c>
      <c r="D265" s="46" t="s">
        <v>112</v>
      </c>
      <c r="E265" s="46" t="s">
        <v>440</v>
      </c>
      <c r="F265" s="46" t="s">
        <v>1035</v>
      </c>
      <c r="G265" s="61">
        <v>2</v>
      </c>
      <c r="H265" s="48">
        <f>ROUND(O265*1.2,2)</f>
        <v>22.37</v>
      </c>
      <c r="I265" s="49">
        <f t="shared" si="40"/>
        <v>44.74</v>
      </c>
      <c r="J265" s="50">
        <v>0.23</v>
      </c>
      <c r="K265" s="51">
        <f t="shared" si="34"/>
        <v>10.290199999999999</v>
      </c>
      <c r="L265" s="51">
        <f t="shared" si="37"/>
        <v>55.030200000000001</v>
      </c>
      <c r="M265" s="52"/>
      <c r="N265" s="53" t="s">
        <v>114</v>
      </c>
      <c r="O265" s="52">
        <v>18.64</v>
      </c>
      <c r="P265" s="54" t="s">
        <v>24</v>
      </c>
      <c r="Q265" s="54"/>
      <c r="R265" s="55"/>
      <c r="S265" s="54">
        <v>18</v>
      </c>
      <c r="T265" s="56">
        <f t="shared" si="35"/>
        <v>36</v>
      </c>
      <c r="U265" s="52"/>
      <c r="V265" s="52"/>
      <c r="W265" s="52"/>
      <c r="X265" s="52"/>
      <c r="Y265" s="52"/>
      <c r="Z265" s="52"/>
      <c r="AA265" s="52"/>
      <c r="AB265" s="52"/>
      <c r="AC265" s="52"/>
      <c r="AG265" s="62"/>
      <c r="AI265" s="58"/>
      <c r="AQ265" s="59"/>
      <c r="AR265" s="59"/>
      <c r="AS265" s="60"/>
    </row>
    <row r="266" spans="2:45" s="57" customFormat="1">
      <c r="B266" s="46" t="s">
        <v>1036</v>
      </c>
      <c r="C266" s="46" t="s">
        <v>1037</v>
      </c>
      <c r="D266" s="46" t="s">
        <v>87</v>
      </c>
      <c r="E266" s="46" t="s">
        <v>56</v>
      </c>
      <c r="F266" s="46" t="s">
        <v>1038</v>
      </c>
      <c r="G266" s="61">
        <v>2</v>
      </c>
      <c r="H266" s="48">
        <f>ROUND(O266*1.2,2)</f>
        <v>188.18</v>
      </c>
      <c r="I266" s="49">
        <f t="shared" si="40"/>
        <v>376.36</v>
      </c>
      <c r="J266" s="50">
        <v>0.23</v>
      </c>
      <c r="K266" s="51">
        <f t="shared" si="34"/>
        <v>86.562800000000038</v>
      </c>
      <c r="L266" s="51">
        <f t="shared" si="37"/>
        <v>462.92280000000005</v>
      </c>
      <c r="M266" s="52"/>
      <c r="N266" s="53" t="s">
        <v>134</v>
      </c>
      <c r="O266" s="52">
        <f>39.6*4.5*0.88</f>
        <v>156.816</v>
      </c>
      <c r="P266" s="54" t="s">
        <v>24</v>
      </c>
      <c r="Q266" s="54"/>
      <c r="R266" s="55"/>
      <c r="S266" s="54">
        <v>170</v>
      </c>
      <c r="T266" s="56">
        <f t="shared" si="35"/>
        <v>340</v>
      </c>
      <c r="U266" s="52">
        <v>2</v>
      </c>
      <c r="V266" s="52">
        <v>192.99</v>
      </c>
      <c r="W266" s="52">
        <f t="shared" si="41"/>
        <v>192.99</v>
      </c>
      <c r="X266" s="52">
        <f t="shared" si="38"/>
        <v>385.98</v>
      </c>
      <c r="Y266" s="52"/>
      <c r="Z266" s="52">
        <v>141.25</v>
      </c>
      <c r="AA266" s="52">
        <f t="shared" si="39"/>
        <v>282.5</v>
      </c>
      <c r="AB266" s="52"/>
      <c r="AC266" s="52"/>
      <c r="AE266" s="57" t="s">
        <v>137</v>
      </c>
      <c r="AH266" s="57">
        <v>148.44999999999999</v>
      </c>
      <c r="AI266" s="58">
        <v>1</v>
      </c>
      <c r="AK266" s="57">
        <f t="shared" si="45"/>
        <v>296.89999999999998</v>
      </c>
      <c r="AP266" s="57">
        <v>0</v>
      </c>
      <c r="AQ266" s="59" t="s">
        <v>1039</v>
      </c>
      <c r="AR266" s="60">
        <v>36.7575</v>
      </c>
      <c r="AS266" s="60">
        <v>367.57499999999999</v>
      </c>
    </row>
    <row r="267" spans="2:45" s="57" customFormat="1">
      <c r="B267" s="46" t="s">
        <v>1040</v>
      </c>
      <c r="C267" s="46" t="s">
        <v>1041</v>
      </c>
      <c r="D267" s="46" t="s">
        <v>112</v>
      </c>
      <c r="E267" s="46" t="s">
        <v>56</v>
      </c>
      <c r="F267" s="46" t="s">
        <v>1042</v>
      </c>
      <c r="G267" s="61">
        <v>5</v>
      </c>
      <c r="H267" s="48">
        <f t="shared" si="36"/>
        <v>32.81</v>
      </c>
      <c r="I267" s="49">
        <f t="shared" si="40"/>
        <v>164.05</v>
      </c>
      <c r="J267" s="50">
        <v>0.23</v>
      </c>
      <c r="K267" s="51">
        <f t="shared" si="34"/>
        <v>37.731500000000011</v>
      </c>
      <c r="L267" s="51">
        <f t="shared" si="37"/>
        <v>201.78150000000002</v>
      </c>
      <c r="M267" s="52"/>
      <c r="N267" s="53" t="s">
        <v>50</v>
      </c>
      <c r="O267" s="52">
        <v>21.87</v>
      </c>
      <c r="P267" s="54" t="s">
        <v>64</v>
      </c>
      <c r="Q267" s="54">
        <v>17.48</v>
      </c>
      <c r="R267" s="55"/>
      <c r="S267" s="54">
        <v>19</v>
      </c>
      <c r="T267" s="56">
        <f t="shared" si="35"/>
        <v>95</v>
      </c>
      <c r="U267" s="52">
        <v>5</v>
      </c>
      <c r="V267" s="52">
        <v>23.71</v>
      </c>
      <c r="W267" s="52">
        <f t="shared" si="41"/>
        <v>23.71</v>
      </c>
      <c r="X267" s="52">
        <f t="shared" si="38"/>
        <v>118.55000000000001</v>
      </c>
      <c r="Y267" s="52"/>
      <c r="Z267" s="52">
        <v>22.21</v>
      </c>
      <c r="AA267" s="52">
        <f t="shared" si="39"/>
        <v>111.05000000000001</v>
      </c>
      <c r="AB267" s="52"/>
      <c r="AC267" s="52"/>
      <c r="AE267" s="57" t="s">
        <v>52</v>
      </c>
      <c r="AG267" s="62"/>
      <c r="AH267" s="57">
        <v>18.239999999999998</v>
      </c>
      <c r="AI267" s="58">
        <v>1</v>
      </c>
      <c r="AK267" s="57">
        <f t="shared" si="45"/>
        <v>91.199999999999989</v>
      </c>
      <c r="AP267" s="57">
        <v>5</v>
      </c>
      <c r="AQ267" s="59" t="s">
        <v>1043</v>
      </c>
      <c r="AR267" s="60">
        <v>39</v>
      </c>
      <c r="AS267" s="60">
        <v>156</v>
      </c>
    </row>
    <row r="268" spans="2:45" s="57" customFormat="1">
      <c r="B268" s="46" t="s">
        <v>1044</v>
      </c>
      <c r="C268" s="64" t="s">
        <v>1045</v>
      </c>
      <c r="D268" s="64" t="s">
        <v>112</v>
      </c>
      <c r="E268" s="64" t="s">
        <v>56</v>
      </c>
      <c r="F268" s="64" t="s">
        <v>1046</v>
      </c>
      <c r="G268" s="47">
        <v>2</v>
      </c>
      <c r="H268" s="48">
        <f>ROUND(O268*1.2,2)</f>
        <v>102.04</v>
      </c>
      <c r="I268" s="49">
        <f t="shared" si="40"/>
        <v>204.08</v>
      </c>
      <c r="J268" s="50">
        <v>0.23</v>
      </c>
      <c r="K268" s="51">
        <f t="shared" si="34"/>
        <v>46.938400000000001</v>
      </c>
      <c r="L268" s="51">
        <f t="shared" si="37"/>
        <v>251.01840000000001</v>
      </c>
      <c r="M268" s="52"/>
      <c r="N268" s="53" t="s">
        <v>50</v>
      </c>
      <c r="O268" s="52">
        <v>85.03</v>
      </c>
      <c r="P268" s="54" t="s">
        <v>64</v>
      </c>
      <c r="Q268" s="54">
        <v>68.73</v>
      </c>
      <c r="R268" s="55"/>
      <c r="S268" s="54">
        <v>75</v>
      </c>
      <c r="T268" s="56">
        <f t="shared" si="35"/>
        <v>150</v>
      </c>
      <c r="U268" s="52">
        <v>2</v>
      </c>
      <c r="V268" s="52">
        <v>84.5</v>
      </c>
      <c r="W268" s="52">
        <f t="shared" si="41"/>
        <v>84.5</v>
      </c>
      <c r="X268" s="52">
        <f t="shared" si="38"/>
        <v>169</v>
      </c>
      <c r="Y268" s="52"/>
      <c r="Z268" s="52">
        <v>83.65</v>
      </c>
      <c r="AA268" s="52">
        <f t="shared" si="39"/>
        <v>167.3</v>
      </c>
      <c r="AB268" s="52"/>
      <c r="AC268" s="52"/>
      <c r="AE268" s="57" t="s">
        <v>52</v>
      </c>
      <c r="AH268" s="57">
        <v>65</v>
      </c>
      <c r="AI268" s="58">
        <v>0</v>
      </c>
      <c r="AK268" s="57">
        <f t="shared" si="45"/>
        <v>130</v>
      </c>
      <c r="AP268" s="57">
        <v>0</v>
      </c>
      <c r="AQ268" s="59" t="s">
        <v>1047</v>
      </c>
      <c r="AR268" s="60">
        <v>26.24</v>
      </c>
      <c r="AS268" s="60">
        <v>524.79999999999995</v>
      </c>
    </row>
    <row r="269" spans="2:45" s="57" customFormat="1">
      <c r="B269" s="46" t="s">
        <v>1048</v>
      </c>
      <c r="C269" s="46" t="s">
        <v>1049</v>
      </c>
      <c r="D269" s="46" t="s">
        <v>112</v>
      </c>
      <c r="E269" s="46" t="s">
        <v>56</v>
      </c>
      <c r="F269" s="46" t="s">
        <v>1050</v>
      </c>
      <c r="G269" s="61">
        <v>25</v>
      </c>
      <c r="H269" s="48">
        <f t="shared" si="36"/>
        <v>26.63</v>
      </c>
      <c r="I269" s="49">
        <f t="shared" si="40"/>
        <v>665.75</v>
      </c>
      <c r="J269" s="50">
        <v>0.23</v>
      </c>
      <c r="K269" s="51">
        <f t="shared" si="34"/>
        <v>153.12249999999995</v>
      </c>
      <c r="L269" s="51">
        <f t="shared" si="37"/>
        <v>818.87249999999995</v>
      </c>
      <c r="M269" s="52"/>
      <c r="N269" s="53" t="s">
        <v>50</v>
      </c>
      <c r="O269" s="52">
        <v>17.75</v>
      </c>
      <c r="P269" s="54" t="s">
        <v>64</v>
      </c>
      <c r="Q269" s="54">
        <v>13.88</v>
      </c>
      <c r="R269" s="55">
        <v>8</v>
      </c>
      <c r="S269" s="54">
        <v>15</v>
      </c>
      <c r="T269" s="56">
        <f t="shared" si="35"/>
        <v>375</v>
      </c>
      <c r="U269" s="52">
        <v>25</v>
      </c>
      <c r="V269" s="52">
        <v>24.18</v>
      </c>
      <c r="W269" s="52">
        <f t="shared" si="41"/>
        <v>24.18</v>
      </c>
      <c r="X269" s="52">
        <f t="shared" si="38"/>
        <v>604.5</v>
      </c>
      <c r="Y269" s="52"/>
      <c r="Z269" s="52">
        <v>16.16</v>
      </c>
      <c r="AA269" s="52">
        <f t="shared" si="39"/>
        <v>404</v>
      </c>
      <c r="AB269" s="52"/>
      <c r="AC269" s="52"/>
      <c r="AE269" s="57" t="s">
        <v>52</v>
      </c>
      <c r="AH269" s="57">
        <v>18.600000000000001</v>
      </c>
      <c r="AI269" s="58">
        <v>11</v>
      </c>
      <c r="AK269" s="57">
        <f t="shared" si="45"/>
        <v>465.00000000000006</v>
      </c>
      <c r="AP269" s="57">
        <v>2</v>
      </c>
      <c r="AQ269" s="59" t="s">
        <v>1051</v>
      </c>
      <c r="AR269" s="60">
        <v>99.499000000000009</v>
      </c>
      <c r="AS269" s="60">
        <v>99.499000000000009</v>
      </c>
    </row>
    <row r="270" spans="2:45" s="57" customFormat="1" ht="22.5">
      <c r="B270" s="46" t="s">
        <v>1052</v>
      </c>
      <c r="C270" s="46" t="s">
        <v>1053</v>
      </c>
      <c r="D270" s="46" t="s">
        <v>967</v>
      </c>
      <c r="E270" s="46" t="s">
        <v>107</v>
      </c>
      <c r="F270" s="46" t="s">
        <v>1054</v>
      </c>
      <c r="G270" s="61">
        <v>5</v>
      </c>
      <c r="H270" s="48">
        <f t="shared" si="36"/>
        <v>35.82</v>
      </c>
      <c r="I270" s="49">
        <f t="shared" si="40"/>
        <v>179.1</v>
      </c>
      <c r="J270" s="50">
        <v>0.23</v>
      </c>
      <c r="K270" s="51">
        <f t="shared" si="34"/>
        <v>41.193000000000012</v>
      </c>
      <c r="L270" s="51">
        <f t="shared" si="37"/>
        <v>220.29300000000001</v>
      </c>
      <c r="M270" s="52" t="s">
        <v>1055</v>
      </c>
      <c r="N270" s="53" t="s">
        <v>50</v>
      </c>
      <c r="O270" s="52">
        <v>23.88</v>
      </c>
      <c r="P270" s="54" t="s">
        <v>64</v>
      </c>
      <c r="Q270" s="54">
        <v>7.07</v>
      </c>
      <c r="R270" s="55">
        <v>1</v>
      </c>
      <c r="S270" s="54">
        <v>8</v>
      </c>
      <c r="T270" s="56">
        <f t="shared" si="35"/>
        <v>40</v>
      </c>
      <c r="U270" s="52">
        <v>10</v>
      </c>
      <c r="V270" s="52">
        <v>25.38</v>
      </c>
      <c r="W270" s="52">
        <f>ROUND(AH270*1.05,2)</f>
        <v>25.38</v>
      </c>
      <c r="X270" s="52">
        <f t="shared" si="38"/>
        <v>126.89999999999999</v>
      </c>
      <c r="Y270" s="52"/>
      <c r="Z270" s="52">
        <v>21.14</v>
      </c>
      <c r="AA270" s="52">
        <f t="shared" si="39"/>
        <v>105.7</v>
      </c>
      <c r="AB270" s="57" t="s">
        <v>128</v>
      </c>
      <c r="AC270" s="52"/>
      <c r="AE270" s="57" t="s">
        <v>52</v>
      </c>
      <c r="AH270" s="57">
        <v>24.17</v>
      </c>
      <c r="AI270" s="58">
        <v>0</v>
      </c>
      <c r="AK270" s="57">
        <f t="shared" si="45"/>
        <v>120.85000000000001</v>
      </c>
      <c r="AM270" s="70" t="s">
        <v>1056</v>
      </c>
      <c r="AN270" s="57">
        <v>7.07</v>
      </c>
      <c r="AP270" s="57">
        <v>0</v>
      </c>
      <c r="AQ270" s="59" t="s">
        <v>1057</v>
      </c>
      <c r="AR270" s="60">
        <v>63.132999999999996</v>
      </c>
      <c r="AS270" s="60">
        <v>315.66499999999996</v>
      </c>
    </row>
    <row r="271" spans="2:45" s="57" customFormat="1">
      <c r="B271" s="46" t="s">
        <v>1058</v>
      </c>
      <c r="C271" s="46" t="s">
        <v>1059</v>
      </c>
      <c r="D271" s="46" t="s">
        <v>47</v>
      </c>
      <c r="E271" s="46" t="s">
        <v>56</v>
      </c>
      <c r="F271" s="64" t="s">
        <v>1060</v>
      </c>
      <c r="G271" s="47">
        <v>1</v>
      </c>
      <c r="H271" s="48">
        <f t="shared" si="36"/>
        <v>149.27000000000001</v>
      </c>
      <c r="I271" s="49">
        <f t="shared" si="40"/>
        <v>149.27000000000001</v>
      </c>
      <c r="J271" s="50">
        <v>0.23</v>
      </c>
      <c r="K271" s="51">
        <f t="shared" ref="K271:K335" si="46">L271-I271</f>
        <v>34.332099999999997</v>
      </c>
      <c r="L271" s="51">
        <f t="shared" si="37"/>
        <v>183.60210000000001</v>
      </c>
      <c r="M271" s="52"/>
      <c r="N271" s="53" t="s">
        <v>50</v>
      </c>
      <c r="O271" s="52">
        <v>99.51</v>
      </c>
      <c r="P271" s="54" t="s">
        <v>64</v>
      </c>
      <c r="Q271" s="54">
        <v>21.49</v>
      </c>
      <c r="R271" s="55">
        <v>1</v>
      </c>
      <c r="S271" s="54">
        <v>24</v>
      </c>
      <c r="T271" s="56">
        <f t="shared" ref="T271:T335" si="47">S271*G271</f>
        <v>24</v>
      </c>
      <c r="U271" s="52">
        <v>4</v>
      </c>
      <c r="V271" s="52">
        <v>91.28</v>
      </c>
      <c r="W271" s="52">
        <f>ROUND(AH271*1.1,2)</f>
        <v>91.28</v>
      </c>
      <c r="X271" s="52">
        <f t="shared" si="38"/>
        <v>91.28</v>
      </c>
      <c r="Y271" s="52">
        <v>0.1</v>
      </c>
      <c r="Z271" s="52">
        <v>72.66</v>
      </c>
      <c r="AA271" s="52">
        <f t="shared" si="39"/>
        <v>72.66</v>
      </c>
      <c r="AB271" s="57" t="s">
        <v>128</v>
      </c>
      <c r="AC271" s="52"/>
      <c r="AE271" s="57" t="s">
        <v>52</v>
      </c>
      <c r="AH271" s="57">
        <v>82.98</v>
      </c>
      <c r="AI271" s="58">
        <v>0</v>
      </c>
      <c r="AK271" s="57">
        <f t="shared" si="45"/>
        <v>82.98</v>
      </c>
      <c r="AP271" s="57">
        <v>4</v>
      </c>
      <c r="AQ271" s="59">
        <v>0</v>
      </c>
      <c r="AR271" s="59">
        <v>0</v>
      </c>
      <c r="AS271" s="60">
        <v>0</v>
      </c>
    </row>
    <row r="272" spans="2:45" s="57" customFormat="1" ht="22.5">
      <c r="B272" s="46" t="s">
        <v>1061</v>
      </c>
      <c r="C272" s="64" t="s">
        <v>1062</v>
      </c>
      <c r="D272" s="64" t="s">
        <v>67</v>
      </c>
      <c r="E272" s="64" t="s">
        <v>68</v>
      </c>
      <c r="F272" s="90" t="s">
        <v>1063</v>
      </c>
      <c r="G272" s="47">
        <v>20</v>
      </c>
      <c r="H272" s="48">
        <f>ROUND(O272*1.2,2)</f>
        <v>109.08</v>
      </c>
      <c r="I272" s="49">
        <f t="shared" si="40"/>
        <v>2181.6</v>
      </c>
      <c r="J272" s="50">
        <v>0.23</v>
      </c>
      <c r="K272" s="51">
        <f t="shared" si="46"/>
        <v>501.76800000000003</v>
      </c>
      <c r="L272" s="51">
        <f t="shared" si="37"/>
        <v>2683.3679999999999</v>
      </c>
      <c r="M272" s="52" t="s">
        <v>177</v>
      </c>
      <c r="N272" s="53" t="s">
        <v>114</v>
      </c>
      <c r="O272" s="52">
        <f>36.36*2.5</f>
        <v>90.9</v>
      </c>
      <c r="P272" s="54" t="s">
        <v>24</v>
      </c>
      <c r="Q272" s="54"/>
      <c r="R272" s="55">
        <v>1</v>
      </c>
      <c r="S272" s="54">
        <v>100</v>
      </c>
      <c r="T272" s="56">
        <f t="shared" si="47"/>
        <v>2000</v>
      </c>
      <c r="U272" s="52">
        <v>20</v>
      </c>
      <c r="V272" s="52">
        <v>99.08</v>
      </c>
      <c r="W272" s="52">
        <f>ROUND(AH272*1.09,2)</f>
        <v>99.08</v>
      </c>
      <c r="X272" s="52">
        <f t="shared" si="38"/>
        <v>1981.6</v>
      </c>
      <c r="Y272" s="52">
        <v>0.1</v>
      </c>
      <c r="Z272" s="52">
        <v>73.099999999999994</v>
      </c>
      <c r="AA272" s="52">
        <f t="shared" si="39"/>
        <v>1462</v>
      </c>
      <c r="AB272" s="57" t="s">
        <v>1064</v>
      </c>
      <c r="AC272" s="52"/>
      <c r="AD272" s="57">
        <v>617514602</v>
      </c>
      <c r="AE272" s="58" t="s">
        <v>52</v>
      </c>
      <c r="AF272" s="57" t="s">
        <v>115</v>
      </c>
      <c r="AH272" s="57">
        <v>90.9</v>
      </c>
      <c r="AI272" s="58">
        <v>0</v>
      </c>
      <c r="AK272" s="57">
        <f t="shared" si="45"/>
        <v>1818</v>
      </c>
      <c r="AP272" s="57">
        <v>20</v>
      </c>
      <c r="AQ272" s="59" t="s">
        <v>1065</v>
      </c>
      <c r="AR272" s="60">
        <v>46.776999999999994</v>
      </c>
      <c r="AS272" s="60">
        <v>46.776999999999994</v>
      </c>
    </row>
    <row r="273" spans="2:45" s="57" customFormat="1">
      <c r="B273" s="46" t="s">
        <v>1066</v>
      </c>
      <c r="C273" s="46" t="s">
        <v>1067</v>
      </c>
      <c r="D273" s="46" t="s">
        <v>47</v>
      </c>
      <c r="E273" s="46" t="s">
        <v>56</v>
      </c>
      <c r="F273" s="46" t="s">
        <v>1068</v>
      </c>
      <c r="G273" s="61">
        <v>30</v>
      </c>
      <c r="H273" s="48">
        <f t="shared" ref="H273:H334" si="48">ROUND(O273*1.5,2)</f>
        <v>19.89</v>
      </c>
      <c r="I273" s="49">
        <f t="shared" si="40"/>
        <v>596.70000000000005</v>
      </c>
      <c r="J273" s="50">
        <v>0.23</v>
      </c>
      <c r="K273" s="51">
        <f t="shared" si="46"/>
        <v>137.24099999999999</v>
      </c>
      <c r="L273" s="51">
        <f t="shared" si="37"/>
        <v>733.94100000000003</v>
      </c>
      <c r="M273" s="52" t="s">
        <v>1069</v>
      </c>
      <c r="N273" s="53" t="s">
        <v>50</v>
      </c>
      <c r="O273" s="52">
        <v>13.26</v>
      </c>
      <c r="P273" s="54" t="s">
        <v>51</v>
      </c>
      <c r="Q273" s="54">
        <v>12.44</v>
      </c>
      <c r="R273" s="55">
        <v>21</v>
      </c>
      <c r="S273" s="54">
        <v>13</v>
      </c>
      <c r="T273" s="56">
        <f t="shared" si="47"/>
        <v>390</v>
      </c>
      <c r="U273" s="52">
        <v>30</v>
      </c>
      <c r="V273" s="52">
        <v>17.55</v>
      </c>
      <c r="W273" s="52">
        <f t="shared" si="41"/>
        <v>17.55</v>
      </c>
      <c r="X273" s="52">
        <f t="shared" si="38"/>
        <v>526.5</v>
      </c>
      <c r="Y273" s="52"/>
      <c r="Z273" s="52">
        <v>12.24</v>
      </c>
      <c r="AA273" s="52">
        <f t="shared" si="39"/>
        <v>367.2</v>
      </c>
      <c r="AB273" s="52"/>
      <c r="AC273" s="52"/>
      <c r="AE273" s="57" t="s">
        <v>52</v>
      </c>
      <c r="AH273" s="57">
        <v>13.5</v>
      </c>
      <c r="AI273" s="58">
        <v>24</v>
      </c>
      <c r="AK273" s="57">
        <f t="shared" si="45"/>
        <v>405</v>
      </c>
      <c r="AP273" s="57">
        <v>0</v>
      </c>
      <c r="AQ273" s="59" t="s">
        <v>1070</v>
      </c>
      <c r="AR273" s="60">
        <v>23.5</v>
      </c>
      <c r="AS273" s="60">
        <v>235</v>
      </c>
    </row>
    <row r="274" spans="2:45" s="57" customFormat="1">
      <c r="B274" s="46" t="s">
        <v>1071</v>
      </c>
      <c r="C274" s="46" t="s">
        <v>1067</v>
      </c>
      <c r="D274" s="46" t="s">
        <v>47</v>
      </c>
      <c r="E274" s="46" t="s">
        <v>56</v>
      </c>
      <c r="F274" s="46" t="s">
        <v>383</v>
      </c>
      <c r="G274" s="61">
        <v>3</v>
      </c>
      <c r="H274" s="48">
        <f>ROUND(O274*1.2,2)</f>
        <v>33.049999999999997</v>
      </c>
      <c r="I274" s="49">
        <f t="shared" si="40"/>
        <v>99.149999999999991</v>
      </c>
      <c r="J274" s="50">
        <v>0.23</v>
      </c>
      <c r="K274" s="51">
        <f t="shared" si="46"/>
        <v>22.804500000000004</v>
      </c>
      <c r="L274" s="51">
        <f t="shared" si="37"/>
        <v>121.9545</v>
      </c>
      <c r="M274" s="52"/>
      <c r="N274" s="53" t="s">
        <v>58</v>
      </c>
      <c r="O274" s="52">
        <v>27.54</v>
      </c>
      <c r="P274" s="54" t="s">
        <v>59</v>
      </c>
      <c r="Q274" s="54"/>
      <c r="R274" s="55"/>
      <c r="S274" s="54">
        <v>30</v>
      </c>
      <c r="T274" s="56">
        <f t="shared" si="47"/>
        <v>90</v>
      </c>
      <c r="U274" s="52">
        <v>3</v>
      </c>
      <c r="V274" s="52">
        <v>33.42</v>
      </c>
      <c r="W274" s="52">
        <f t="shared" si="41"/>
        <v>33.42</v>
      </c>
      <c r="X274" s="52">
        <f t="shared" si="38"/>
        <v>100.26</v>
      </c>
      <c r="Y274" s="52"/>
      <c r="Z274" s="52">
        <v>34.840000000000003</v>
      </c>
      <c r="AA274" s="52">
        <f t="shared" si="39"/>
        <v>104.52000000000001</v>
      </c>
      <c r="AB274" s="52"/>
      <c r="AC274" s="52"/>
      <c r="AE274" s="57" t="s">
        <v>60</v>
      </c>
      <c r="AF274" s="57">
        <v>32.130000000000003</v>
      </c>
      <c r="AG274" s="62">
        <v>0.2</v>
      </c>
      <c r="AH274" s="57">
        <f>AF274-AF274*AG274</f>
        <v>25.704000000000001</v>
      </c>
      <c r="AI274" s="58">
        <v>1</v>
      </c>
      <c r="AK274" s="57">
        <f t="shared" si="45"/>
        <v>77.111999999999995</v>
      </c>
      <c r="AP274" s="57">
        <v>0</v>
      </c>
      <c r="AQ274" s="59">
        <v>0</v>
      </c>
      <c r="AR274" s="59">
        <v>0</v>
      </c>
      <c r="AS274" s="60">
        <v>0</v>
      </c>
    </row>
    <row r="275" spans="2:45" s="57" customFormat="1">
      <c r="B275" s="46" t="s">
        <v>1072</v>
      </c>
      <c r="C275" s="64" t="s">
        <v>1073</v>
      </c>
      <c r="D275" s="64" t="s">
        <v>67</v>
      </c>
      <c r="E275" s="64" t="s">
        <v>68</v>
      </c>
      <c r="F275" s="64" t="s">
        <v>1074</v>
      </c>
      <c r="G275" s="47">
        <v>20</v>
      </c>
      <c r="H275" s="48">
        <f>ROUND(O275*1.3,2)</f>
        <v>61.7</v>
      </c>
      <c r="I275" s="49">
        <f t="shared" si="40"/>
        <v>1234</v>
      </c>
      <c r="J275" s="50">
        <v>0.23</v>
      </c>
      <c r="K275" s="51">
        <f t="shared" si="46"/>
        <v>283.81999999999994</v>
      </c>
      <c r="L275" s="51">
        <f t="shared" si="37"/>
        <v>1517.82</v>
      </c>
      <c r="M275" s="52"/>
      <c r="N275" s="53" t="s">
        <v>50</v>
      </c>
      <c r="O275" s="52">
        <v>47.46</v>
      </c>
      <c r="P275" s="54" t="s">
        <v>64</v>
      </c>
      <c r="Q275" s="54">
        <f>31.66*2.5</f>
        <v>79.150000000000006</v>
      </c>
      <c r="R275" s="55">
        <v>6</v>
      </c>
      <c r="S275" s="54">
        <v>52</v>
      </c>
      <c r="T275" s="56">
        <f t="shared" si="47"/>
        <v>1040</v>
      </c>
      <c r="U275" s="52">
        <v>20</v>
      </c>
      <c r="V275" s="52">
        <v>43.53</v>
      </c>
      <c r="W275" s="52">
        <f>ROUND(AH275*1.1,2)</f>
        <v>43.53</v>
      </c>
      <c r="X275" s="52">
        <f t="shared" si="38"/>
        <v>870.6</v>
      </c>
      <c r="Y275" s="52">
        <v>0.1</v>
      </c>
      <c r="Z275" s="52">
        <v>41.59</v>
      </c>
      <c r="AA275" s="52">
        <f t="shared" si="39"/>
        <v>831.80000000000007</v>
      </c>
      <c r="AB275" s="52" t="s">
        <v>1064</v>
      </c>
      <c r="AC275" s="52"/>
      <c r="AE275" s="57" t="s">
        <v>52</v>
      </c>
      <c r="AH275" s="57">
        <v>39.57</v>
      </c>
      <c r="AI275" s="58">
        <v>0</v>
      </c>
      <c r="AK275" s="57">
        <f t="shared" si="45"/>
        <v>791.4</v>
      </c>
      <c r="AP275" s="57">
        <v>1</v>
      </c>
      <c r="AQ275" s="59">
        <v>0</v>
      </c>
      <c r="AR275" s="59">
        <v>0</v>
      </c>
      <c r="AS275" s="60">
        <v>0</v>
      </c>
    </row>
    <row r="276" spans="2:45" s="57" customFormat="1">
      <c r="B276" s="46" t="s">
        <v>1075</v>
      </c>
      <c r="C276" s="64" t="s">
        <v>1076</v>
      </c>
      <c r="D276" s="72" t="s">
        <v>1077</v>
      </c>
      <c r="E276" s="84" t="s">
        <v>1078</v>
      </c>
      <c r="F276" s="64" t="s">
        <v>1079</v>
      </c>
      <c r="G276" s="73">
        <v>2</v>
      </c>
      <c r="H276" s="48">
        <f t="shared" si="48"/>
        <v>7.94</v>
      </c>
      <c r="I276" s="49">
        <f t="shared" si="40"/>
        <v>15.88</v>
      </c>
      <c r="J276" s="50">
        <v>0.23</v>
      </c>
      <c r="K276" s="51">
        <f t="shared" si="46"/>
        <v>3.6524000000000019</v>
      </c>
      <c r="L276" s="51">
        <f t="shared" si="37"/>
        <v>19.532400000000003</v>
      </c>
      <c r="M276" s="52"/>
      <c r="N276" s="53" t="s">
        <v>50</v>
      </c>
      <c r="O276" s="52">
        <v>5.29</v>
      </c>
      <c r="P276" s="54" t="s">
        <v>64</v>
      </c>
      <c r="Q276" s="54">
        <v>6.33</v>
      </c>
      <c r="R276" s="55">
        <v>1</v>
      </c>
      <c r="S276" s="54">
        <v>6</v>
      </c>
      <c r="T276" s="56">
        <f t="shared" si="47"/>
        <v>12</v>
      </c>
      <c r="U276" s="52">
        <v>2</v>
      </c>
      <c r="V276" s="52">
        <v>9.1</v>
      </c>
      <c r="W276" s="52">
        <f t="shared" si="41"/>
        <v>9.1</v>
      </c>
      <c r="X276" s="52">
        <f t="shared" si="38"/>
        <v>18.2</v>
      </c>
      <c r="Y276" s="52"/>
      <c r="Z276" s="52">
        <v>8.41</v>
      </c>
      <c r="AA276" s="52">
        <f t="shared" si="39"/>
        <v>16.82</v>
      </c>
      <c r="AB276" s="52"/>
      <c r="AC276" s="52"/>
      <c r="AE276" s="57" t="s">
        <v>52</v>
      </c>
      <c r="AH276" s="57">
        <v>7</v>
      </c>
      <c r="AI276" s="58">
        <v>0</v>
      </c>
      <c r="AK276" s="57">
        <f t="shared" si="45"/>
        <v>14</v>
      </c>
      <c r="AP276" s="57">
        <v>1</v>
      </c>
      <c r="AQ276" s="59">
        <v>0</v>
      </c>
      <c r="AR276" s="59">
        <v>0</v>
      </c>
      <c r="AS276" s="60">
        <v>0</v>
      </c>
    </row>
    <row r="277" spans="2:45" s="57" customFormat="1">
      <c r="B277" s="46" t="s">
        <v>1080</v>
      </c>
      <c r="C277" s="46" t="s">
        <v>1081</v>
      </c>
      <c r="D277" s="66" t="s">
        <v>1082</v>
      </c>
      <c r="E277" s="46" t="s">
        <v>107</v>
      </c>
      <c r="F277" s="46" t="s">
        <v>1083</v>
      </c>
      <c r="G277" s="67">
        <v>4</v>
      </c>
      <c r="H277" s="48">
        <f>ROUND(O277*1.2,2)</f>
        <v>441.31</v>
      </c>
      <c r="I277" s="49">
        <f t="shared" si="40"/>
        <v>1765.24</v>
      </c>
      <c r="J277" s="50">
        <v>0.23</v>
      </c>
      <c r="K277" s="51">
        <f t="shared" si="46"/>
        <v>406.00519999999983</v>
      </c>
      <c r="L277" s="51">
        <f t="shared" si="37"/>
        <v>2171.2451999999998</v>
      </c>
      <c r="M277" s="52"/>
      <c r="N277" s="53" t="s">
        <v>91</v>
      </c>
      <c r="O277" s="52">
        <v>367.76</v>
      </c>
      <c r="P277" s="54" t="s">
        <v>109</v>
      </c>
      <c r="Q277" s="54"/>
      <c r="R277" s="55"/>
      <c r="S277" s="54">
        <v>370</v>
      </c>
      <c r="T277" s="56">
        <f t="shared" si="47"/>
        <v>1480</v>
      </c>
      <c r="U277" s="52"/>
      <c r="V277" s="52"/>
      <c r="W277" s="52"/>
      <c r="X277" s="52"/>
      <c r="Y277" s="52"/>
      <c r="Z277" s="52"/>
      <c r="AA277" s="52"/>
      <c r="AB277" s="52"/>
      <c r="AC277" s="52"/>
      <c r="AI277" s="58"/>
      <c r="AQ277" s="59"/>
      <c r="AR277" s="59"/>
      <c r="AS277" s="60"/>
    </row>
    <row r="278" spans="2:45" s="57" customFormat="1">
      <c r="B278" s="46" t="s">
        <v>1084</v>
      </c>
      <c r="C278" s="46" t="s">
        <v>1085</v>
      </c>
      <c r="D278" s="66" t="s">
        <v>1086</v>
      </c>
      <c r="E278" s="46" t="s">
        <v>107</v>
      </c>
      <c r="F278" s="46" t="s">
        <v>1087</v>
      </c>
      <c r="G278" s="67">
        <v>4</v>
      </c>
      <c r="H278" s="48">
        <f t="shared" ref="H278:H279" si="49">ROUND(O278*1.2,2)</f>
        <v>461.03</v>
      </c>
      <c r="I278" s="49">
        <f t="shared" si="40"/>
        <v>1844.12</v>
      </c>
      <c r="J278" s="50">
        <v>0.23</v>
      </c>
      <c r="K278" s="51">
        <f t="shared" si="46"/>
        <v>424.14760000000024</v>
      </c>
      <c r="L278" s="51">
        <f t="shared" ref="L278:L342" si="50">I278+I278*J278</f>
        <v>2268.2676000000001</v>
      </c>
      <c r="M278" s="52"/>
      <c r="N278" s="53" t="s">
        <v>91</v>
      </c>
      <c r="O278" s="52">
        <v>384.19</v>
      </c>
      <c r="P278" s="54" t="s">
        <v>109</v>
      </c>
      <c r="Q278" s="54"/>
      <c r="R278" s="55"/>
      <c r="S278" s="54">
        <v>390</v>
      </c>
      <c r="T278" s="56">
        <f t="shared" si="47"/>
        <v>1560</v>
      </c>
      <c r="U278" s="52"/>
      <c r="V278" s="52"/>
      <c r="W278" s="52"/>
      <c r="X278" s="52"/>
      <c r="Y278" s="52"/>
      <c r="Z278" s="52"/>
      <c r="AA278" s="52"/>
      <c r="AB278" s="52"/>
      <c r="AC278" s="52"/>
      <c r="AI278" s="58"/>
      <c r="AQ278" s="59"/>
      <c r="AR278" s="59"/>
      <c r="AS278" s="60"/>
    </row>
    <row r="279" spans="2:45" s="57" customFormat="1">
      <c r="B279" s="46" t="s">
        <v>1088</v>
      </c>
      <c r="C279" s="46" t="s">
        <v>1085</v>
      </c>
      <c r="D279" s="66" t="s">
        <v>1086</v>
      </c>
      <c r="E279" s="46" t="s">
        <v>107</v>
      </c>
      <c r="F279" s="46" t="s">
        <v>1089</v>
      </c>
      <c r="G279" s="67">
        <v>4</v>
      </c>
      <c r="H279" s="48">
        <f t="shared" si="49"/>
        <v>496.49</v>
      </c>
      <c r="I279" s="49">
        <f t="shared" si="40"/>
        <v>1985.96</v>
      </c>
      <c r="J279" s="50">
        <v>0.23</v>
      </c>
      <c r="K279" s="51">
        <f t="shared" si="46"/>
        <v>456.77080000000024</v>
      </c>
      <c r="L279" s="51">
        <f t="shared" si="50"/>
        <v>2442.7308000000003</v>
      </c>
      <c r="M279" s="52"/>
      <c r="N279" s="53" t="s">
        <v>91</v>
      </c>
      <c r="O279" s="52">
        <v>413.74</v>
      </c>
      <c r="P279" s="54" t="s">
        <v>109</v>
      </c>
      <c r="Q279" s="54"/>
      <c r="R279" s="55"/>
      <c r="S279" s="54">
        <v>420</v>
      </c>
      <c r="T279" s="56">
        <f t="shared" si="47"/>
        <v>1680</v>
      </c>
      <c r="U279" s="52"/>
      <c r="V279" s="52"/>
      <c r="W279" s="52"/>
      <c r="X279" s="52"/>
      <c r="Y279" s="52"/>
      <c r="Z279" s="52"/>
      <c r="AA279" s="52"/>
      <c r="AB279" s="52"/>
      <c r="AC279" s="52"/>
      <c r="AI279" s="58"/>
      <c r="AQ279" s="59"/>
      <c r="AR279" s="59"/>
      <c r="AS279" s="60"/>
    </row>
    <row r="280" spans="2:45" s="57" customFormat="1">
      <c r="B280" s="46" t="s">
        <v>1090</v>
      </c>
      <c r="C280" s="46" t="s">
        <v>1091</v>
      </c>
      <c r="D280" s="46" t="s">
        <v>1092</v>
      </c>
      <c r="E280" s="46" t="s">
        <v>107</v>
      </c>
      <c r="F280" s="46" t="s">
        <v>1093</v>
      </c>
      <c r="G280" s="61">
        <v>10</v>
      </c>
      <c r="H280" s="48">
        <f>ROUND(O280*1.3,2)</f>
        <v>20.75</v>
      </c>
      <c r="I280" s="49">
        <f t="shared" si="40"/>
        <v>207.5</v>
      </c>
      <c r="J280" s="50">
        <v>0.23</v>
      </c>
      <c r="K280" s="51">
        <f t="shared" si="46"/>
        <v>47.724999999999994</v>
      </c>
      <c r="L280" s="51">
        <f t="shared" si="50"/>
        <v>255.22499999999999</v>
      </c>
      <c r="M280" s="52"/>
      <c r="N280" s="53" t="s">
        <v>50</v>
      </c>
      <c r="O280" s="52">
        <v>15.96</v>
      </c>
      <c r="P280" s="54" t="s">
        <v>64</v>
      </c>
      <c r="Q280" s="54">
        <v>7.98</v>
      </c>
      <c r="R280" s="55"/>
      <c r="S280" s="54">
        <v>9</v>
      </c>
      <c r="T280" s="56">
        <f t="shared" si="47"/>
        <v>90</v>
      </c>
      <c r="U280" s="52">
        <v>10</v>
      </c>
      <c r="V280" s="52">
        <v>17.89</v>
      </c>
      <c r="W280" s="52">
        <f t="shared" si="41"/>
        <v>17.89</v>
      </c>
      <c r="X280" s="52">
        <f t="shared" si="38"/>
        <v>178.9</v>
      </c>
      <c r="Y280" s="52"/>
      <c r="Z280" s="52">
        <v>8.9</v>
      </c>
      <c r="AA280" s="52">
        <f t="shared" si="39"/>
        <v>89</v>
      </c>
      <c r="AB280" s="52"/>
      <c r="AC280" s="52"/>
      <c r="AE280" s="57" t="s">
        <v>52</v>
      </c>
      <c r="AH280" s="57">
        <v>13.76</v>
      </c>
      <c r="AI280" s="58">
        <v>5</v>
      </c>
      <c r="AK280" s="57">
        <f t="shared" si="45"/>
        <v>137.6</v>
      </c>
      <c r="AP280" s="57">
        <v>0</v>
      </c>
      <c r="AQ280" s="59">
        <v>0</v>
      </c>
      <c r="AR280" s="59">
        <v>0</v>
      </c>
      <c r="AS280" s="60">
        <v>0</v>
      </c>
    </row>
    <row r="281" spans="2:45" s="57" customFormat="1">
      <c r="B281" s="46" t="s">
        <v>1094</v>
      </c>
      <c r="C281" s="46" t="s">
        <v>1095</v>
      </c>
      <c r="D281" s="46" t="s">
        <v>1092</v>
      </c>
      <c r="E281" s="46" t="s">
        <v>107</v>
      </c>
      <c r="F281" s="46" t="s">
        <v>1096</v>
      </c>
      <c r="G281" s="61">
        <v>5</v>
      </c>
      <c r="H281" s="48">
        <f t="shared" ref="H281:H288" si="51">ROUND(O281*1.3,2)</f>
        <v>21.84</v>
      </c>
      <c r="I281" s="49">
        <f t="shared" si="40"/>
        <v>109.2</v>
      </c>
      <c r="J281" s="50">
        <v>0.23</v>
      </c>
      <c r="K281" s="51">
        <f t="shared" si="46"/>
        <v>25.116</v>
      </c>
      <c r="L281" s="51">
        <f t="shared" si="50"/>
        <v>134.316</v>
      </c>
      <c r="M281" s="52"/>
      <c r="N281" s="53" t="s">
        <v>50</v>
      </c>
      <c r="O281" s="52">
        <v>16.8</v>
      </c>
      <c r="P281" s="54" t="s">
        <v>64</v>
      </c>
      <c r="Q281" s="54">
        <v>7.98</v>
      </c>
      <c r="R281" s="55"/>
      <c r="S281" s="54">
        <v>9</v>
      </c>
      <c r="T281" s="56">
        <f t="shared" si="47"/>
        <v>45</v>
      </c>
      <c r="U281" s="52">
        <v>5</v>
      </c>
      <c r="V281" s="52">
        <v>17.89</v>
      </c>
      <c r="W281" s="52">
        <f t="shared" si="41"/>
        <v>17.89</v>
      </c>
      <c r="X281" s="52">
        <f t="shared" si="38"/>
        <v>89.45</v>
      </c>
      <c r="Y281" s="52"/>
      <c r="Z281" s="52">
        <v>8.9</v>
      </c>
      <c r="AA281" s="52">
        <f t="shared" si="39"/>
        <v>44.5</v>
      </c>
      <c r="AB281" s="52"/>
      <c r="AC281" s="52"/>
      <c r="AE281" s="57" t="s">
        <v>52</v>
      </c>
      <c r="AH281" s="57">
        <v>13.76</v>
      </c>
      <c r="AI281" s="58">
        <v>1</v>
      </c>
      <c r="AK281" s="57">
        <f t="shared" si="45"/>
        <v>68.8</v>
      </c>
      <c r="AP281" s="57">
        <v>11</v>
      </c>
      <c r="AQ281" s="59">
        <v>0</v>
      </c>
      <c r="AR281" s="59">
        <v>0</v>
      </c>
      <c r="AS281" s="60">
        <v>0</v>
      </c>
    </row>
    <row r="282" spans="2:45" s="57" customFormat="1">
      <c r="B282" s="46" t="s">
        <v>1097</v>
      </c>
      <c r="C282" s="46" t="s">
        <v>1098</v>
      </c>
      <c r="D282" s="46" t="s">
        <v>1092</v>
      </c>
      <c r="E282" s="46" t="s">
        <v>107</v>
      </c>
      <c r="F282" s="46" t="s">
        <v>1099</v>
      </c>
      <c r="G282" s="61">
        <v>20</v>
      </c>
      <c r="H282" s="48">
        <f t="shared" si="51"/>
        <v>20.399999999999999</v>
      </c>
      <c r="I282" s="49">
        <f t="shared" si="40"/>
        <v>408</v>
      </c>
      <c r="J282" s="50">
        <v>0.23</v>
      </c>
      <c r="K282" s="51">
        <f t="shared" si="46"/>
        <v>93.840000000000032</v>
      </c>
      <c r="L282" s="51">
        <f t="shared" si="50"/>
        <v>501.84000000000003</v>
      </c>
      <c r="M282" s="52"/>
      <c r="N282" s="53" t="s">
        <v>50</v>
      </c>
      <c r="O282" s="52">
        <v>15.69</v>
      </c>
      <c r="P282" s="54" t="s">
        <v>64</v>
      </c>
      <c r="Q282" s="54">
        <v>7.98</v>
      </c>
      <c r="R282" s="55">
        <v>7</v>
      </c>
      <c r="S282" s="54">
        <v>9</v>
      </c>
      <c r="T282" s="56">
        <f t="shared" si="47"/>
        <v>180</v>
      </c>
      <c r="U282" s="52">
        <v>20</v>
      </c>
      <c r="V282" s="52">
        <v>18.23</v>
      </c>
      <c r="W282" s="52">
        <f t="shared" si="41"/>
        <v>18.23</v>
      </c>
      <c r="X282" s="52">
        <f t="shared" si="38"/>
        <v>364.6</v>
      </c>
      <c r="Y282" s="52"/>
      <c r="Z282" s="52">
        <v>8.9</v>
      </c>
      <c r="AA282" s="52">
        <f t="shared" si="39"/>
        <v>178</v>
      </c>
      <c r="AB282" s="52"/>
      <c r="AC282" s="52"/>
      <c r="AE282" s="57" t="s">
        <v>52</v>
      </c>
      <c r="AH282" s="57">
        <v>14.02</v>
      </c>
      <c r="AI282" s="58">
        <v>12</v>
      </c>
      <c r="AK282" s="57">
        <f t="shared" si="45"/>
        <v>280.39999999999998</v>
      </c>
      <c r="AP282" s="57">
        <v>0</v>
      </c>
      <c r="AQ282" s="59" t="s">
        <v>1100</v>
      </c>
      <c r="AR282" s="60">
        <v>148.45099999999999</v>
      </c>
      <c r="AS282" s="60">
        <v>742.255</v>
      </c>
    </row>
    <row r="283" spans="2:45" s="57" customFormat="1">
      <c r="B283" s="46" t="s">
        <v>1101</v>
      </c>
      <c r="C283" s="46" t="s">
        <v>1102</v>
      </c>
      <c r="D283" s="46" t="s">
        <v>1092</v>
      </c>
      <c r="E283" s="46" t="s">
        <v>107</v>
      </c>
      <c r="F283" s="46" t="s">
        <v>1103</v>
      </c>
      <c r="G283" s="61">
        <v>10</v>
      </c>
      <c r="H283" s="48">
        <f t="shared" si="51"/>
        <v>21.76</v>
      </c>
      <c r="I283" s="49">
        <f t="shared" si="40"/>
        <v>217.60000000000002</v>
      </c>
      <c r="J283" s="50">
        <v>0.23</v>
      </c>
      <c r="K283" s="51">
        <f t="shared" si="46"/>
        <v>50.048000000000002</v>
      </c>
      <c r="L283" s="51">
        <f t="shared" si="50"/>
        <v>267.64800000000002</v>
      </c>
      <c r="M283" s="52"/>
      <c r="N283" s="53" t="s">
        <v>50</v>
      </c>
      <c r="O283" s="52">
        <v>16.739999999999998</v>
      </c>
      <c r="P283" s="54" t="s">
        <v>64</v>
      </c>
      <c r="Q283" s="54">
        <v>7.98</v>
      </c>
      <c r="R283" s="55"/>
      <c r="S283" s="54">
        <v>9</v>
      </c>
      <c r="T283" s="56">
        <f t="shared" si="47"/>
        <v>90</v>
      </c>
      <c r="U283" s="52">
        <v>10</v>
      </c>
      <c r="V283" s="52">
        <v>17.89</v>
      </c>
      <c r="W283" s="52">
        <f t="shared" si="41"/>
        <v>17.89</v>
      </c>
      <c r="X283" s="52">
        <f t="shared" ref="X283:X354" si="52">W283*G283</f>
        <v>178.9</v>
      </c>
      <c r="Y283" s="52"/>
      <c r="Z283" s="52">
        <v>8.9</v>
      </c>
      <c r="AA283" s="52">
        <f t="shared" ref="AA283:AA354" si="53">Z283*G283</f>
        <v>89</v>
      </c>
      <c r="AB283" s="52"/>
      <c r="AC283" s="52"/>
      <c r="AE283" s="57" t="s">
        <v>52</v>
      </c>
      <c r="AH283" s="57">
        <v>13.76</v>
      </c>
      <c r="AI283" s="58">
        <v>1</v>
      </c>
      <c r="AK283" s="57">
        <f t="shared" si="45"/>
        <v>137.6</v>
      </c>
      <c r="AP283" s="57">
        <v>0</v>
      </c>
      <c r="AQ283" s="59" t="s">
        <v>1104</v>
      </c>
      <c r="AR283" s="60">
        <v>18.241</v>
      </c>
      <c r="AS283" s="60">
        <v>364.82</v>
      </c>
    </row>
    <row r="284" spans="2:45" s="57" customFormat="1">
      <c r="B284" s="46" t="s">
        <v>1105</v>
      </c>
      <c r="C284" s="46" t="s">
        <v>1106</v>
      </c>
      <c r="D284" s="46" t="s">
        <v>1092</v>
      </c>
      <c r="E284" s="46" t="s">
        <v>107</v>
      </c>
      <c r="F284" s="46" t="s">
        <v>1107</v>
      </c>
      <c r="G284" s="61">
        <v>5</v>
      </c>
      <c r="H284" s="48">
        <f t="shared" si="51"/>
        <v>21.74</v>
      </c>
      <c r="I284" s="49">
        <f t="shared" ref="I284:I356" si="54">H284*G284</f>
        <v>108.69999999999999</v>
      </c>
      <c r="J284" s="50">
        <v>0.23</v>
      </c>
      <c r="K284" s="51">
        <f t="shared" si="46"/>
        <v>25.001000000000005</v>
      </c>
      <c r="L284" s="51">
        <f t="shared" si="50"/>
        <v>133.70099999999999</v>
      </c>
      <c r="M284" s="52"/>
      <c r="N284" s="53" t="s">
        <v>50</v>
      </c>
      <c r="O284" s="52">
        <v>16.72</v>
      </c>
      <c r="P284" s="54" t="s">
        <v>64</v>
      </c>
      <c r="Q284" s="54">
        <v>7.98</v>
      </c>
      <c r="R284" s="55"/>
      <c r="S284" s="54">
        <v>9</v>
      </c>
      <c r="T284" s="56">
        <f t="shared" si="47"/>
        <v>45</v>
      </c>
      <c r="U284" s="52">
        <v>5</v>
      </c>
      <c r="V284" s="52">
        <v>18.23</v>
      </c>
      <c r="W284" s="52">
        <f t="shared" ref="W284:W355" si="55">ROUND(AH284*1.3,2)</f>
        <v>18.23</v>
      </c>
      <c r="X284" s="52">
        <f t="shared" si="52"/>
        <v>91.15</v>
      </c>
      <c r="Y284" s="52"/>
      <c r="Z284" s="52">
        <v>8.9</v>
      </c>
      <c r="AA284" s="52">
        <f t="shared" si="53"/>
        <v>44.5</v>
      </c>
      <c r="AB284" s="52"/>
      <c r="AC284" s="52"/>
      <c r="AE284" s="57" t="s">
        <v>52</v>
      </c>
      <c r="AH284" s="57">
        <v>14.02</v>
      </c>
      <c r="AI284" s="58">
        <v>0</v>
      </c>
      <c r="AK284" s="57">
        <f t="shared" si="45"/>
        <v>70.099999999999994</v>
      </c>
      <c r="AP284" s="57">
        <v>0</v>
      </c>
      <c r="AQ284" s="59" t="s">
        <v>1108</v>
      </c>
      <c r="AR284" s="60">
        <v>65</v>
      </c>
      <c r="AS284" s="60">
        <v>130</v>
      </c>
    </row>
    <row r="285" spans="2:45" s="57" customFormat="1">
      <c r="B285" s="46" t="s">
        <v>1109</v>
      </c>
      <c r="C285" s="46" t="s">
        <v>1110</v>
      </c>
      <c r="D285" s="46" t="s">
        <v>1092</v>
      </c>
      <c r="E285" s="46" t="s">
        <v>107</v>
      </c>
      <c r="F285" s="46" t="s">
        <v>1111</v>
      </c>
      <c r="G285" s="61">
        <v>20</v>
      </c>
      <c r="H285" s="48">
        <f t="shared" si="51"/>
        <v>16.45</v>
      </c>
      <c r="I285" s="49">
        <f t="shared" si="54"/>
        <v>329</v>
      </c>
      <c r="J285" s="50">
        <v>0.23</v>
      </c>
      <c r="K285" s="51">
        <f t="shared" si="46"/>
        <v>75.670000000000016</v>
      </c>
      <c r="L285" s="51">
        <f t="shared" si="50"/>
        <v>404.67</v>
      </c>
      <c r="M285" s="52"/>
      <c r="N285" s="53" t="s">
        <v>50</v>
      </c>
      <c r="O285" s="52">
        <v>12.65</v>
      </c>
      <c r="P285" s="54" t="s">
        <v>64</v>
      </c>
      <c r="Q285" s="54">
        <v>7.98</v>
      </c>
      <c r="R285" s="55">
        <v>7</v>
      </c>
      <c r="S285" s="54">
        <v>9</v>
      </c>
      <c r="T285" s="56">
        <f t="shared" si="47"/>
        <v>180</v>
      </c>
      <c r="U285" s="52">
        <v>20</v>
      </c>
      <c r="V285" s="52">
        <v>18.23</v>
      </c>
      <c r="W285" s="52">
        <f t="shared" si="55"/>
        <v>18.23</v>
      </c>
      <c r="X285" s="52">
        <f t="shared" si="52"/>
        <v>364.6</v>
      </c>
      <c r="Y285" s="52"/>
      <c r="Z285" s="52">
        <v>8.9</v>
      </c>
      <c r="AA285" s="52">
        <f t="shared" si="53"/>
        <v>178</v>
      </c>
      <c r="AB285" s="52"/>
      <c r="AC285" s="52"/>
      <c r="AE285" s="57" t="s">
        <v>52</v>
      </c>
      <c r="AH285" s="57">
        <v>14.02</v>
      </c>
      <c r="AI285" s="58">
        <v>12</v>
      </c>
      <c r="AK285" s="57">
        <f t="shared" si="45"/>
        <v>280.39999999999998</v>
      </c>
      <c r="AP285" s="57">
        <v>24</v>
      </c>
      <c r="AQ285" s="59" t="s">
        <v>1112</v>
      </c>
      <c r="AR285" s="60">
        <v>18.6035</v>
      </c>
      <c r="AS285" s="60">
        <v>744.14</v>
      </c>
    </row>
    <row r="286" spans="2:45" s="57" customFormat="1">
      <c r="B286" s="46" t="s">
        <v>1113</v>
      </c>
      <c r="C286" s="46" t="s">
        <v>1114</v>
      </c>
      <c r="D286" s="46" t="s">
        <v>1092</v>
      </c>
      <c r="E286" s="46" t="s">
        <v>107</v>
      </c>
      <c r="F286" s="46" t="s">
        <v>1115</v>
      </c>
      <c r="G286" s="61">
        <v>10</v>
      </c>
      <c r="H286" s="48">
        <f t="shared" si="51"/>
        <v>20.7</v>
      </c>
      <c r="I286" s="49">
        <f t="shared" si="54"/>
        <v>207</v>
      </c>
      <c r="J286" s="50">
        <v>0.23</v>
      </c>
      <c r="K286" s="51">
        <f t="shared" si="46"/>
        <v>47.610000000000014</v>
      </c>
      <c r="L286" s="51">
        <f t="shared" si="50"/>
        <v>254.61</v>
      </c>
      <c r="M286" s="52"/>
      <c r="N286" s="53" t="s">
        <v>50</v>
      </c>
      <c r="O286" s="52">
        <v>15.92</v>
      </c>
      <c r="P286" s="54" t="s">
        <v>64</v>
      </c>
      <c r="Q286" s="54">
        <v>7.98</v>
      </c>
      <c r="R286" s="55"/>
      <c r="S286" s="54">
        <v>9</v>
      </c>
      <c r="T286" s="56">
        <f t="shared" si="47"/>
        <v>90</v>
      </c>
      <c r="U286" s="52">
        <v>10</v>
      </c>
      <c r="V286" s="52">
        <v>18.23</v>
      </c>
      <c r="W286" s="52">
        <f t="shared" si="55"/>
        <v>18.23</v>
      </c>
      <c r="X286" s="52">
        <f t="shared" si="52"/>
        <v>182.3</v>
      </c>
      <c r="Y286" s="52"/>
      <c r="Z286" s="52">
        <v>8.9</v>
      </c>
      <c r="AA286" s="52">
        <f t="shared" si="53"/>
        <v>89</v>
      </c>
      <c r="AB286" s="52"/>
      <c r="AC286" s="52"/>
      <c r="AE286" s="57" t="s">
        <v>52</v>
      </c>
      <c r="AH286" s="57">
        <v>14.02</v>
      </c>
      <c r="AI286" s="58">
        <v>1</v>
      </c>
      <c r="AK286" s="57">
        <f t="shared" si="45"/>
        <v>140.19999999999999</v>
      </c>
      <c r="AP286" s="57">
        <v>1</v>
      </c>
      <c r="AQ286" s="59" t="s">
        <v>1116</v>
      </c>
      <c r="AR286" s="60">
        <v>24.171500000000002</v>
      </c>
      <c r="AS286" s="60">
        <v>725.1450000000001</v>
      </c>
    </row>
    <row r="287" spans="2:45" s="57" customFormat="1">
      <c r="B287" s="46" t="s">
        <v>1117</v>
      </c>
      <c r="C287" s="46" t="s">
        <v>1118</v>
      </c>
      <c r="D287" s="46" t="s">
        <v>1092</v>
      </c>
      <c r="E287" s="46" t="s">
        <v>107</v>
      </c>
      <c r="F287" s="46" t="s">
        <v>1119</v>
      </c>
      <c r="G287" s="61">
        <v>10</v>
      </c>
      <c r="H287" s="48">
        <f t="shared" si="51"/>
        <v>17.54</v>
      </c>
      <c r="I287" s="49">
        <f t="shared" si="54"/>
        <v>175.39999999999998</v>
      </c>
      <c r="J287" s="50">
        <v>0.23</v>
      </c>
      <c r="K287" s="51">
        <f t="shared" si="46"/>
        <v>40.341999999999985</v>
      </c>
      <c r="L287" s="51">
        <f t="shared" si="50"/>
        <v>215.74199999999996</v>
      </c>
      <c r="M287" s="52"/>
      <c r="N287" s="53" t="s">
        <v>50</v>
      </c>
      <c r="O287" s="52">
        <v>13.49</v>
      </c>
      <c r="P287" s="54" t="s">
        <v>64</v>
      </c>
      <c r="Q287" s="54">
        <v>7.98</v>
      </c>
      <c r="R287" s="55"/>
      <c r="S287" s="54">
        <v>9</v>
      </c>
      <c r="T287" s="56">
        <f t="shared" si="47"/>
        <v>90</v>
      </c>
      <c r="U287" s="52">
        <v>10</v>
      </c>
      <c r="V287" s="52">
        <v>17.89</v>
      </c>
      <c r="W287" s="52">
        <f t="shared" si="55"/>
        <v>17.89</v>
      </c>
      <c r="X287" s="52">
        <f t="shared" si="52"/>
        <v>178.9</v>
      </c>
      <c r="Y287" s="52"/>
      <c r="Z287" s="52">
        <v>8.9</v>
      </c>
      <c r="AA287" s="52">
        <f t="shared" si="53"/>
        <v>89</v>
      </c>
      <c r="AB287" s="52"/>
      <c r="AC287" s="52"/>
      <c r="AE287" s="57" t="s">
        <v>52</v>
      </c>
      <c r="AH287" s="57">
        <v>13.76</v>
      </c>
      <c r="AI287" s="58">
        <v>10</v>
      </c>
      <c r="AK287" s="57">
        <f t="shared" si="45"/>
        <v>137.6</v>
      </c>
      <c r="AP287" s="57">
        <v>0</v>
      </c>
      <c r="AQ287" s="59" t="s">
        <v>1120</v>
      </c>
      <c r="AR287" s="60">
        <v>82.983499999999992</v>
      </c>
      <c r="AS287" s="60">
        <v>497.90099999999995</v>
      </c>
    </row>
    <row r="288" spans="2:45" s="57" customFormat="1">
      <c r="B288" s="46" t="s">
        <v>1121</v>
      </c>
      <c r="C288" s="46" t="s">
        <v>1122</v>
      </c>
      <c r="D288" s="46" t="s">
        <v>1092</v>
      </c>
      <c r="E288" s="46" t="s">
        <v>107</v>
      </c>
      <c r="F288" s="46" t="s">
        <v>1123</v>
      </c>
      <c r="G288" s="61">
        <v>5</v>
      </c>
      <c r="H288" s="48">
        <f t="shared" si="51"/>
        <v>20.12</v>
      </c>
      <c r="I288" s="49">
        <f t="shared" si="54"/>
        <v>100.60000000000001</v>
      </c>
      <c r="J288" s="50">
        <v>0.23</v>
      </c>
      <c r="K288" s="51">
        <f t="shared" si="46"/>
        <v>23.138000000000005</v>
      </c>
      <c r="L288" s="51">
        <f t="shared" si="50"/>
        <v>123.73800000000001</v>
      </c>
      <c r="M288" s="52"/>
      <c r="N288" s="53" t="s">
        <v>50</v>
      </c>
      <c r="O288" s="52">
        <v>15.48</v>
      </c>
      <c r="P288" s="54" t="s">
        <v>64</v>
      </c>
      <c r="Q288" s="54">
        <v>7.98</v>
      </c>
      <c r="R288" s="55"/>
      <c r="S288" s="54">
        <v>9</v>
      </c>
      <c r="T288" s="56">
        <f t="shared" si="47"/>
        <v>45</v>
      </c>
      <c r="U288" s="52">
        <v>5</v>
      </c>
      <c r="V288" s="52">
        <v>18.23</v>
      </c>
      <c r="W288" s="52">
        <f t="shared" si="55"/>
        <v>18.23</v>
      </c>
      <c r="X288" s="52">
        <f t="shared" si="52"/>
        <v>91.15</v>
      </c>
      <c r="Y288" s="52"/>
      <c r="Z288" s="52">
        <v>8.9</v>
      </c>
      <c r="AA288" s="52">
        <f t="shared" si="53"/>
        <v>44.5</v>
      </c>
      <c r="AB288" s="52"/>
      <c r="AC288" s="52"/>
      <c r="AE288" s="57" t="s">
        <v>52</v>
      </c>
      <c r="AH288" s="57">
        <v>14.02</v>
      </c>
      <c r="AI288" s="58">
        <v>1</v>
      </c>
      <c r="AK288" s="57">
        <f t="shared" si="45"/>
        <v>70.099999999999994</v>
      </c>
      <c r="AP288" s="57">
        <v>0</v>
      </c>
      <c r="AQ288" s="59">
        <v>0</v>
      </c>
      <c r="AR288" s="59">
        <v>0</v>
      </c>
      <c r="AS288" s="60">
        <v>0</v>
      </c>
    </row>
    <row r="289" spans="2:45" s="57" customFormat="1" ht="22.5">
      <c r="B289" s="46" t="s">
        <v>1124</v>
      </c>
      <c r="C289" s="46" t="s">
        <v>1125</v>
      </c>
      <c r="D289" s="46" t="s">
        <v>142</v>
      </c>
      <c r="E289" s="46" t="s">
        <v>56</v>
      </c>
      <c r="F289" s="46" t="s">
        <v>1126</v>
      </c>
      <c r="G289" s="61">
        <v>2</v>
      </c>
      <c r="H289" s="48">
        <f t="shared" si="48"/>
        <v>215.99</v>
      </c>
      <c r="I289" s="49">
        <f t="shared" si="54"/>
        <v>431.98</v>
      </c>
      <c r="J289" s="50">
        <v>0.23</v>
      </c>
      <c r="K289" s="51">
        <f t="shared" si="46"/>
        <v>99.355400000000031</v>
      </c>
      <c r="L289" s="51">
        <f t="shared" si="50"/>
        <v>531.33540000000005</v>
      </c>
      <c r="M289" s="52"/>
      <c r="N289" s="53" t="s">
        <v>114</v>
      </c>
      <c r="O289" s="52">
        <v>143.99</v>
      </c>
      <c r="P289" s="54" t="s">
        <v>24</v>
      </c>
      <c r="Q289" s="54"/>
      <c r="R289" s="55">
        <v>2</v>
      </c>
      <c r="S289" s="54">
        <v>160</v>
      </c>
      <c r="T289" s="56">
        <f t="shared" si="47"/>
        <v>320</v>
      </c>
      <c r="U289" s="52">
        <v>2</v>
      </c>
      <c r="V289" s="52">
        <v>187.19</v>
      </c>
      <c r="W289" s="52">
        <f t="shared" si="55"/>
        <v>187.19</v>
      </c>
      <c r="X289" s="52">
        <f t="shared" si="52"/>
        <v>374.38</v>
      </c>
      <c r="Y289" s="52"/>
      <c r="Z289" s="52">
        <v>171.6</v>
      </c>
      <c r="AA289" s="52">
        <f t="shared" si="53"/>
        <v>343.2</v>
      </c>
      <c r="AB289" s="52"/>
      <c r="AC289" s="52"/>
      <c r="AE289" s="57" t="s">
        <v>115</v>
      </c>
      <c r="AF289" s="57">
        <v>189.46</v>
      </c>
      <c r="AH289" s="57">
        <v>143.99</v>
      </c>
      <c r="AI289" s="58">
        <v>2</v>
      </c>
      <c r="AK289" s="57">
        <f t="shared" si="45"/>
        <v>287.98</v>
      </c>
      <c r="AP289" s="57">
        <v>5</v>
      </c>
      <c r="AQ289" s="59" t="s">
        <v>1127</v>
      </c>
      <c r="AR289" s="60">
        <v>13.5</v>
      </c>
      <c r="AS289" s="60">
        <v>810</v>
      </c>
    </row>
    <row r="290" spans="2:45" s="57" customFormat="1" ht="22.5">
      <c r="B290" s="46" t="s">
        <v>1128</v>
      </c>
      <c r="C290" s="46" t="s">
        <v>1129</v>
      </c>
      <c r="D290" s="46" t="s">
        <v>142</v>
      </c>
      <c r="E290" s="46" t="s">
        <v>56</v>
      </c>
      <c r="F290" s="46" t="s">
        <v>1130</v>
      </c>
      <c r="G290" s="61">
        <v>2</v>
      </c>
      <c r="H290" s="48">
        <f t="shared" si="48"/>
        <v>98.04</v>
      </c>
      <c r="I290" s="49">
        <f t="shared" si="54"/>
        <v>196.08</v>
      </c>
      <c r="J290" s="50">
        <v>0.23</v>
      </c>
      <c r="K290" s="51">
        <f t="shared" si="46"/>
        <v>45.098399999999998</v>
      </c>
      <c r="L290" s="51">
        <f t="shared" si="50"/>
        <v>241.17840000000001</v>
      </c>
      <c r="M290" s="52"/>
      <c r="N290" s="53" t="s">
        <v>114</v>
      </c>
      <c r="O290" s="52">
        <v>65.36</v>
      </c>
      <c r="P290" s="54" t="s">
        <v>24</v>
      </c>
      <c r="Q290" s="54"/>
      <c r="R290" s="55">
        <v>1</v>
      </c>
      <c r="S290" s="54">
        <v>70</v>
      </c>
      <c r="T290" s="56">
        <f t="shared" si="47"/>
        <v>140</v>
      </c>
      <c r="U290" s="52">
        <v>2</v>
      </c>
      <c r="V290" s="52">
        <v>84.97</v>
      </c>
      <c r="W290" s="52">
        <f t="shared" si="55"/>
        <v>84.97</v>
      </c>
      <c r="X290" s="52">
        <f t="shared" si="52"/>
        <v>169.94</v>
      </c>
      <c r="Y290" s="52"/>
      <c r="Z290" s="52">
        <v>141.6</v>
      </c>
      <c r="AA290" s="52">
        <f t="shared" si="53"/>
        <v>283.2</v>
      </c>
      <c r="AB290" s="52"/>
      <c r="AC290" s="52"/>
      <c r="AE290" s="57" t="s">
        <v>115</v>
      </c>
      <c r="AF290" s="57">
        <v>83</v>
      </c>
      <c r="AH290" s="57">
        <v>65.36</v>
      </c>
      <c r="AI290" s="58">
        <v>1</v>
      </c>
      <c r="AK290" s="57">
        <f t="shared" si="45"/>
        <v>130.72</v>
      </c>
      <c r="AP290" s="57">
        <v>1</v>
      </c>
      <c r="AQ290" s="59">
        <v>0</v>
      </c>
      <c r="AR290" s="59">
        <v>0</v>
      </c>
      <c r="AS290" s="60">
        <v>0</v>
      </c>
    </row>
    <row r="291" spans="2:45" s="57" customFormat="1" ht="22.5">
      <c r="B291" s="46" t="s">
        <v>1131</v>
      </c>
      <c r="C291" s="46" t="s">
        <v>1132</v>
      </c>
      <c r="D291" s="46" t="s">
        <v>112</v>
      </c>
      <c r="E291" s="46" t="s">
        <v>56</v>
      </c>
      <c r="F291" s="64" t="s">
        <v>1133</v>
      </c>
      <c r="G291" s="61">
        <v>20</v>
      </c>
      <c r="H291" s="48">
        <f t="shared" si="48"/>
        <v>17.82</v>
      </c>
      <c r="I291" s="49">
        <f t="shared" si="54"/>
        <v>356.4</v>
      </c>
      <c r="J291" s="50">
        <v>0.08</v>
      </c>
      <c r="K291" s="51">
        <f t="shared" si="46"/>
        <v>28.512</v>
      </c>
      <c r="L291" s="51">
        <f t="shared" si="50"/>
        <v>384.91199999999998</v>
      </c>
      <c r="M291" s="52" t="s">
        <v>177</v>
      </c>
      <c r="N291" s="53" t="s">
        <v>114</v>
      </c>
      <c r="O291" s="52">
        <v>11.88</v>
      </c>
      <c r="P291" s="54"/>
      <c r="Q291" s="54"/>
      <c r="R291" s="55">
        <v>3</v>
      </c>
      <c r="S291" s="54">
        <v>13</v>
      </c>
      <c r="T291" s="56">
        <f t="shared" si="47"/>
        <v>260</v>
      </c>
      <c r="U291" s="52">
        <v>20</v>
      </c>
      <c r="V291" s="52">
        <v>31.2</v>
      </c>
      <c r="W291" s="52">
        <f t="shared" si="55"/>
        <v>31.2</v>
      </c>
      <c r="X291" s="52">
        <f t="shared" si="52"/>
        <v>624</v>
      </c>
      <c r="Y291" s="52"/>
      <c r="Z291" s="52">
        <v>17.71</v>
      </c>
      <c r="AA291" s="52">
        <f t="shared" si="53"/>
        <v>354.20000000000005</v>
      </c>
      <c r="AB291" s="52"/>
      <c r="AC291" s="52"/>
      <c r="AE291" s="57" t="s">
        <v>52</v>
      </c>
      <c r="AH291" s="57">
        <v>24</v>
      </c>
      <c r="AI291" s="58">
        <v>12</v>
      </c>
      <c r="AK291" s="57">
        <f t="shared" si="45"/>
        <v>480</v>
      </c>
      <c r="AP291" s="57">
        <v>12</v>
      </c>
      <c r="AQ291" s="59" t="s">
        <v>1134</v>
      </c>
      <c r="AR291" s="60">
        <v>39.570499999999996</v>
      </c>
      <c r="AS291" s="60">
        <v>791.40999999999985</v>
      </c>
    </row>
    <row r="292" spans="2:45" s="57" customFormat="1" ht="22.5">
      <c r="B292" s="46" t="s">
        <v>1135</v>
      </c>
      <c r="C292" s="46" t="s">
        <v>1136</v>
      </c>
      <c r="D292" s="46" t="s">
        <v>1092</v>
      </c>
      <c r="E292" s="46" t="s">
        <v>107</v>
      </c>
      <c r="F292" s="64" t="s">
        <v>1137</v>
      </c>
      <c r="G292" s="61">
        <v>4</v>
      </c>
      <c r="H292" s="48">
        <f>ROUND(O292*1.2,2)</f>
        <v>718.21</v>
      </c>
      <c r="I292" s="49">
        <f t="shared" si="54"/>
        <v>2872.84</v>
      </c>
      <c r="J292" s="50">
        <v>0.23</v>
      </c>
      <c r="K292" s="51">
        <f t="shared" si="46"/>
        <v>660.75320000000011</v>
      </c>
      <c r="L292" s="51">
        <f t="shared" si="50"/>
        <v>3533.5932000000003</v>
      </c>
      <c r="M292" s="52"/>
      <c r="N292" s="53" t="s">
        <v>91</v>
      </c>
      <c r="O292" s="52">
        <v>598.51</v>
      </c>
      <c r="P292" s="54" t="s">
        <v>109</v>
      </c>
      <c r="Q292" s="54"/>
      <c r="R292" s="55"/>
      <c r="S292" s="54">
        <v>600</v>
      </c>
      <c r="T292" s="56">
        <f t="shared" si="47"/>
        <v>2400</v>
      </c>
      <c r="U292" s="52"/>
      <c r="V292" s="52"/>
      <c r="W292" s="52"/>
      <c r="X292" s="52"/>
      <c r="Y292" s="52"/>
      <c r="Z292" s="52"/>
      <c r="AA292" s="52"/>
      <c r="AB292" s="52"/>
      <c r="AC292" s="52"/>
      <c r="AI292" s="58"/>
      <c r="AQ292" s="59"/>
      <c r="AR292" s="60"/>
      <c r="AS292" s="60"/>
    </row>
    <row r="293" spans="2:45" s="57" customFormat="1" ht="22.5">
      <c r="B293" s="46" t="s">
        <v>1138</v>
      </c>
      <c r="C293" s="46" t="s">
        <v>1139</v>
      </c>
      <c r="D293" s="46" t="s">
        <v>1092</v>
      </c>
      <c r="E293" s="46" t="s">
        <v>107</v>
      </c>
      <c r="F293" s="64" t="s">
        <v>1140</v>
      </c>
      <c r="G293" s="61">
        <v>4</v>
      </c>
      <c r="H293" s="48">
        <f t="shared" ref="H293:H294" si="56">ROUND(O293*1.2,2)</f>
        <v>545.95000000000005</v>
      </c>
      <c r="I293" s="49">
        <f t="shared" si="54"/>
        <v>2183.8000000000002</v>
      </c>
      <c r="J293" s="50">
        <v>0.23</v>
      </c>
      <c r="K293" s="51">
        <f t="shared" si="46"/>
        <v>502.27399999999989</v>
      </c>
      <c r="L293" s="51">
        <f t="shared" si="50"/>
        <v>2686.0740000000001</v>
      </c>
      <c r="M293" s="52"/>
      <c r="N293" s="53" t="s">
        <v>91</v>
      </c>
      <c r="O293" s="52">
        <v>454.96</v>
      </c>
      <c r="P293" s="54" t="s">
        <v>109</v>
      </c>
      <c r="Q293" s="54"/>
      <c r="R293" s="55"/>
      <c r="S293" s="54">
        <v>460</v>
      </c>
      <c r="T293" s="56">
        <f t="shared" si="47"/>
        <v>1840</v>
      </c>
      <c r="U293" s="52"/>
      <c r="V293" s="52"/>
      <c r="W293" s="52"/>
      <c r="X293" s="52"/>
      <c r="Y293" s="52"/>
      <c r="Z293" s="52"/>
      <c r="AA293" s="52"/>
      <c r="AB293" s="52"/>
      <c r="AC293" s="52"/>
      <c r="AI293" s="58"/>
      <c r="AQ293" s="59"/>
      <c r="AR293" s="60"/>
      <c r="AS293" s="60"/>
    </row>
    <row r="294" spans="2:45" s="57" customFormat="1" ht="45">
      <c r="B294" s="46" t="s">
        <v>1141</v>
      </c>
      <c r="C294" s="46" t="s">
        <v>1142</v>
      </c>
      <c r="D294" s="46" t="s">
        <v>1092</v>
      </c>
      <c r="E294" s="46" t="s">
        <v>107</v>
      </c>
      <c r="F294" s="64" t="s">
        <v>1143</v>
      </c>
      <c r="G294" s="61">
        <v>4</v>
      </c>
      <c r="H294" s="48">
        <f t="shared" si="56"/>
        <v>709.57</v>
      </c>
      <c r="I294" s="49">
        <f t="shared" si="54"/>
        <v>2838.28</v>
      </c>
      <c r="J294" s="50">
        <v>0.23</v>
      </c>
      <c r="K294" s="51">
        <f t="shared" si="46"/>
        <v>652.80439999999999</v>
      </c>
      <c r="L294" s="51">
        <f t="shared" si="50"/>
        <v>3491.0844000000002</v>
      </c>
      <c r="M294" s="52"/>
      <c r="N294" s="53" t="s">
        <v>91</v>
      </c>
      <c r="O294" s="52">
        <v>591.30999999999995</v>
      </c>
      <c r="P294" s="54" t="s">
        <v>109</v>
      </c>
      <c r="Q294" s="54"/>
      <c r="R294" s="55"/>
      <c r="S294" s="54">
        <v>600</v>
      </c>
      <c r="T294" s="56">
        <f t="shared" si="47"/>
        <v>2400</v>
      </c>
      <c r="U294" s="52"/>
      <c r="V294" s="52"/>
      <c r="W294" s="52"/>
      <c r="X294" s="52"/>
      <c r="Y294" s="52"/>
      <c r="Z294" s="52"/>
      <c r="AA294" s="52"/>
      <c r="AB294" s="52"/>
      <c r="AC294" s="52"/>
      <c r="AI294" s="58"/>
      <c r="AQ294" s="59"/>
      <c r="AR294" s="60"/>
      <c r="AS294" s="60"/>
    </row>
    <row r="295" spans="2:45" s="57" customFormat="1">
      <c r="B295" s="46" t="s">
        <v>1144</v>
      </c>
      <c r="C295" s="46" t="s">
        <v>1145</v>
      </c>
      <c r="D295" s="46" t="s">
        <v>132</v>
      </c>
      <c r="E295" s="46" t="s">
        <v>56</v>
      </c>
      <c r="F295" s="46" t="s">
        <v>1146</v>
      </c>
      <c r="G295" s="61">
        <v>3</v>
      </c>
      <c r="H295" s="48">
        <f t="shared" si="48"/>
        <v>43.95</v>
      </c>
      <c r="I295" s="49">
        <f t="shared" si="54"/>
        <v>131.85000000000002</v>
      </c>
      <c r="J295" s="50">
        <v>0.08</v>
      </c>
      <c r="K295" s="51">
        <f t="shared" si="46"/>
        <v>10.548000000000002</v>
      </c>
      <c r="L295" s="51">
        <f t="shared" si="50"/>
        <v>142.39800000000002</v>
      </c>
      <c r="M295" s="52"/>
      <c r="N295" s="53" t="s">
        <v>50</v>
      </c>
      <c r="O295" s="52">
        <v>29.3</v>
      </c>
      <c r="P295" s="54" t="s">
        <v>64</v>
      </c>
      <c r="Q295" s="54">
        <v>50.76</v>
      </c>
      <c r="R295" s="55"/>
      <c r="S295" s="54">
        <v>33</v>
      </c>
      <c r="T295" s="56">
        <f t="shared" si="47"/>
        <v>99</v>
      </c>
      <c r="U295" s="52">
        <v>3</v>
      </c>
      <c r="V295" s="52">
        <v>51.49</v>
      </c>
      <c r="W295" s="52">
        <f t="shared" si="55"/>
        <v>51.49</v>
      </c>
      <c r="X295" s="52">
        <f t="shared" si="52"/>
        <v>154.47</v>
      </c>
      <c r="Y295" s="52"/>
      <c r="Z295" s="52">
        <v>27.6</v>
      </c>
      <c r="AA295" s="52">
        <f t="shared" si="53"/>
        <v>82.800000000000011</v>
      </c>
      <c r="AB295" s="52"/>
      <c r="AC295" s="52"/>
      <c r="AE295" s="57" t="s">
        <v>52</v>
      </c>
      <c r="AH295" s="57">
        <v>39.61</v>
      </c>
      <c r="AI295" s="58">
        <v>0</v>
      </c>
      <c r="AK295" s="57">
        <f t="shared" si="45"/>
        <v>118.83</v>
      </c>
      <c r="AP295" s="57">
        <v>1</v>
      </c>
      <c r="AQ295" s="59" t="s">
        <v>1147</v>
      </c>
      <c r="AR295" s="60">
        <v>7</v>
      </c>
      <c r="AS295" s="60">
        <v>14</v>
      </c>
    </row>
    <row r="296" spans="2:45" s="57" customFormat="1" ht="22.5">
      <c r="B296" s="46" t="s">
        <v>1148</v>
      </c>
      <c r="C296" s="46" t="s">
        <v>1149</v>
      </c>
      <c r="D296" s="66" t="s">
        <v>243</v>
      </c>
      <c r="E296" s="46" t="s">
        <v>107</v>
      </c>
      <c r="F296" s="46" t="s">
        <v>1150</v>
      </c>
      <c r="G296" s="67">
        <v>2</v>
      </c>
      <c r="H296" s="48">
        <f t="shared" si="48"/>
        <v>19.14</v>
      </c>
      <c r="I296" s="49">
        <f t="shared" si="54"/>
        <v>38.28</v>
      </c>
      <c r="J296" s="50">
        <v>0.23</v>
      </c>
      <c r="K296" s="51">
        <f t="shared" si="46"/>
        <v>8.8044000000000011</v>
      </c>
      <c r="L296" s="51">
        <f t="shared" si="50"/>
        <v>47.084400000000002</v>
      </c>
      <c r="M296" s="52"/>
      <c r="N296" s="53" t="s">
        <v>114</v>
      </c>
      <c r="O296" s="52">
        <v>12.76</v>
      </c>
      <c r="P296" s="54" t="s">
        <v>24</v>
      </c>
      <c r="Q296" s="54"/>
      <c r="R296" s="55"/>
      <c r="S296" s="54">
        <v>14</v>
      </c>
      <c r="T296" s="56">
        <f t="shared" si="47"/>
        <v>28</v>
      </c>
      <c r="U296" s="52">
        <v>2</v>
      </c>
      <c r="V296" s="52">
        <v>16.59</v>
      </c>
      <c r="W296" s="52">
        <f t="shared" si="55"/>
        <v>16.59</v>
      </c>
      <c r="X296" s="52">
        <f t="shared" si="52"/>
        <v>33.18</v>
      </c>
      <c r="Y296" s="52"/>
      <c r="Z296" s="52">
        <v>14.4</v>
      </c>
      <c r="AA296" s="52">
        <f t="shared" si="53"/>
        <v>28.8</v>
      </c>
      <c r="AB296" s="52"/>
      <c r="AC296" s="52"/>
      <c r="AE296" s="57" t="s">
        <v>115</v>
      </c>
      <c r="AF296" s="57">
        <v>16.89</v>
      </c>
      <c r="AH296" s="57">
        <v>12.76</v>
      </c>
      <c r="AI296" s="58">
        <v>0</v>
      </c>
      <c r="AK296" s="57">
        <f t="shared" si="45"/>
        <v>25.52</v>
      </c>
      <c r="AP296" s="57">
        <v>0</v>
      </c>
      <c r="AQ296" s="59" t="s">
        <v>1151</v>
      </c>
      <c r="AR296" s="60">
        <v>13.76</v>
      </c>
      <c r="AS296" s="60">
        <v>275.2</v>
      </c>
    </row>
    <row r="297" spans="2:45" s="57" customFormat="1" ht="22.5">
      <c r="B297" s="46" t="s">
        <v>1152</v>
      </c>
      <c r="C297" s="46" t="s">
        <v>1153</v>
      </c>
      <c r="D297" s="46" t="s">
        <v>545</v>
      </c>
      <c r="E297" s="46" t="s">
        <v>107</v>
      </c>
      <c r="F297" s="46" t="s">
        <v>1154</v>
      </c>
      <c r="G297" s="61">
        <v>15</v>
      </c>
      <c r="H297" s="48">
        <f t="shared" si="48"/>
        <v>27.17</v>
      </c>
      <c r="I297" s="49">
        <f t="shared" si="54"/>
        <v>407.55</v>
      </c>
      <c r="J297" s="50">
        <v>0.23</v>
      </c>
      <c r="K297" s="51">
        <f t="shared" si="46"/>
        <v>93.736500000000035</v>
      </c>
      <c r="L297" s="51">
        <f t="shared" si="50"/>
        <v>501.28650000000005</v>
      </c>
      <c r="M297" s="52"/>
      <c r="N297" s="53" t="s">
        <v>50</v>
      </c>
      <c r="O297" s="52">
        <v>18.11</v>
      </c>
      <c r="P297" s="54" t="s">
        <v>64</v>
      </c>
      <c r="Q297" s="54">
        <v>15.55</v>
      </c>
      <c r="R297" s="55">
        <v>1</v>
      </c>
      <c r="S297" s="54">
        <v>20</v>
      </c>
      <c r="T297" s="56">
        <f t="shared" si="47"/>
        <v>300</v>
      </c>
      <c r="U297" s="52">
        <v>15</v>
      </c>
      <c r="V297" s="52">
        <v>24.25</v>
      </c>
      <c r="W297" s="52">
        <f t="shared" si="55"/>
        <v>24.25</v>
      </c>
      <c r="X297" s="52">
        <f t="shared" si="52"/>
        <v>363.75</v>
      </c>
      <c r="Y297" s="52"/>
      <c r="Z297" s="52">
        <v>20</v>
      </c>
      <c r="AA297" s="52">
        <f t="shared" si="53"/>
        <v>300</v>
      </c>
      <c r="AB297" s="52"/>
      <c r="AC297" s="52"/>
      <c r="AE297" s="57" t="s">
        <v>52</v>
      </c>
      <c r="AH297" s="57">
        <v>18.649999999999999</v>
      </c>
      <c r="AI297" s="58">
        <v>8</v>
      </c>
      <c r="AK297" s="57">
        <f t="shared" si="45"/>
        <v>279.75</v>
      </c>
      <c r="AP297" s="57">
        <v>12</v>
      </c>
      <c r="AQ297" s="59" t="s">
        <v>1155</v>
      </c>
      <c r="AR297" s="60">
        <v>13.76</v>
      </c>
      <c r="AS297" s="60">
        <v>275.2</v>
      </c>
    </row>
    <row r="298" spans="2:45" s="57" customFormat="1">
      <c r="B298" s="46" t="s">
        <v>1156</v>
      </c>
      <c r="C298" s="46" t="s">
        <v>1157</v>
      </c>
      <c r="D298" s="46" t="s">
        <v>545</v>
      </c>
      <c r="E298" s="46" t="s">
        <v>107</v>
      </c>
      <c r="F298" s="46" t="s">
        <v>1158</v>
      </c>
      <c r="G298" s="61">
        <v>4</v>
      </c>
      <c r="H298" s="48">
        <f t="shared" si="48"/>
        <v>29.82</v>
      </c>
      <c r="I298" s="49">
        <f t="shared" si="54"/>
        <v>119.28</v>
      </c>
      <c r="J298" s="50">
        <v>0.23</v>
      </c>
      <c r="K298" s="51">
        <f t="shared" si="46"/>
        <v>27.434400000000011</v>
      </c>
      <c r="L298" s="51">
        <f t="shared" si="50"/>
        <v>146.71440000000001</v>
      </c>
      <c r="M298" s="52"/>
      <c r="N298" s="53" t="s">
        <v>50</v>
      </c>
      <c r="O298" s="52">
        <v>19.88</v>
      </c>
      <c r="P298" s="54" t="s">
        <v>64</v>
      </c>
      <c r="Q298" s="54"/>
      <c r="R298" s="55">
        <v>1</v>
      </c>
      <c r="S298" s="54">
        <v>22</v>
      </c>
      <c r="T298" s="56">
        <f t="shared" si="47"/>
        <v>88</v>
      </c>
      <c r="U298" s="52">
        <v>4</v>
      </c>
      <c r="V298" s="52">
        <v>26.39</v>
      </c>
      <c r="W298" s="52">
        <f t="shared" si="55"/>
        <v>26.39</v>
      </c>
      <c r="X298" s="52">
        <f t="shared" si="52"/>
        <v>105.56</v>
      </c>
      <c r="Y298" s="52"/>
      <c r="Z298" s="52">
        <v>26.4</v>
      </c>
      <c r="AA298" s="52">
        <f t="shared" si="53"/>
        <v>105.6</v>
      </c>
      <c r="AB298" s="52"/>
      <c r="AC298" s="52"/>
      <c r="AE298" s="57" t="s">
        <v>52</v>
      </c>
      <c r="AH298" s="57">
        <v>20.3</v>
      </c>
      <c r="AI298" s="58">
        <v>3</v>
      </c>
      <c r="AK298" s="57">
        <f t="shared" si="45"/>
        <v>81.2</v>
      </c>
      <c r="AP298" s="57">
        <v>1</v>
      </c>
      <c r="AQ298" s="59" t="s">
        <v>1159</v>
      </c>
      <c r="AR298" s="60">
        <v>14.02</v>
      </c>
      <c r="AS298" s="60">
        <v>280.39999999999998</v>
      </c>
    </row>
    <row r="299" spans="2:45" s="57" customFormat="1" ht="22.5">
      <c r="B299" s="46" t="s">
        <v>1160</v>
      </c>
      <c r="C299" s="46" t="s">
        <v>1161</v>
      </c>
      <c r="D299" s="46" t="s">
        <v>132</v>
      </c>
      <c r="E299" s="46" t="s">
        <v>56</v>
      </c>
      <c r="F299" s="46" t="s">
        <v>1162</v>
      </c>
      <c r="G299" s="61">
        <v>4</v>
      </c>
      <c r="H299" s="48">
        <f t="shared" si="48"/>
        <v>45.8</v>
      </c>
      <c r="I299" s="49">
        <f t="shared" si="54"/>
        <v>183.2</v>
      </c>
      <c r="J299" s="50">
        <v>0.08</v>
      </c>
      <c r="K299" s="51">
        <f t="shared" si="46"/>
        <v>14.656000000000006</v>
      </c>
      <c r="L299" s="51">
        <f t="shared" si="50"/>
        <v>197.85599999999999</v>
      </c>
      <c r="M299" s="52"/>
      <c r="N299" s="53" t="s">
        <v>114</v>
      </c>
      <c r="O299" s="52">
        <v>30.53</v>
      </c>
      <c r="P299" s="54" t="s">
        <v>24</v>
      </c>
      <c r="Q299" s="54"/>
      <c r="R299" s="55">
        <v>3</v>
      </c>
      <c r="S299" s="54">
        <v>34</v>
      </c>
      <c r="T299" s="56">
        <f t="shared" si="47"/>
        <v>136</v>
      </c>
      <c r="U299" s="52">
        <v>4</v>
      </c>
      <c r="V299" s="52">
        <v>39.69</v>
      </c>
      <c r="W299" s="52">
        <f t="shared" si="55"/>
        <v>39.69</v>
      </c>
      <c r="X299" s="52">
        <f t="shared" si="52"/>
        <v>158.76</v>
      </c>
      <c r="Y299" s="52"/>
      <c r="Z299" s="52">
        <v>28</v>
      </c>
      <c r="AA299" s="52">
        <f t="shared" si="53"/>
        <v>112</v>
      </c>
      <c r="AB299" s="52"/>
      <c r="AC299" s="52"/>
      <c r="AE299" s="57" t="s">
        <v>115</v>
      </c>
      <c r="AF299" s="57">
        <v>40.17</v>
      </c>
      <c r="AH299" s="57">
        <v>30.53</v>
      </c>
      <c r="AI299" s="58">
        <v>3</v>
      </c>
      <c r="AJ299" s="57">
        <v>28</v>
      </c>
      <c r="AK299" s="57">
        <f>AJ299*G299</f>
        <v>112</v>
      </c>
      <c r="AP299" s="57">
        <v>10</v>
      </c>
      <c r="AQ299" s="59" t="s">
        <v>1163</v>
      </c>
      <c r="AR299" s="60">
        <v>13.76</v>
      </c>
      <c r="AS299" s="60">
        <v>275.2</v>
      </c>
    </row>
    <row r="300" spans="2:45" s="57" customFormat="1" ht="22.5">
      <c r="B300" s="46" t="s">
        <v>1164</v>
      </c>
      <c r="C300" s="46" t="s">
        <v>1165</v>
      </c>
      <c r="D300" s="46" t="s">
        <v>112</v>
      </c>
      <c r="E300" s="46" t="s">
        <v>56</v>
      </c>
      <c r="F300" s="46" t="s">
        <v>1166</v>
      </c>
      <c r="G300" s="61">
        <v>5</v>
      </c>
      <c r="H300" s="48">
        <f t="shared" si="48"/>
        <v>44.03</v>
      </c>
      <c r="I300" s="49">
        <f t="shared" si="54"/>
        <v>220.15</v>
      </c>
      <c r="J300" s="50">
        <v>0.23</v>
      </c>
      <c r="K300" s="51">
        <f t="shared" si="46"/>
        <v>50.634499999999974</v>
      </c>
      <c r="L300" s="51">
        <f t="shared" si="50"/>
        <v>270.78449999999998</v>
      </c>
      <c r="M300" s="52"/>
      <c r="N300" s="53" t="s">
        <v>114</v>
      </c>
      <c r="O300" s="52">
        <v>29.35</v>
      </c>
      <c r="P300" s="54" t="s">
        <v>24</v>
      </c>
      <c r="Q300" s="54"/>
      <c r="R300" s="55">
        <v>2</v>
      </c>
      <c r="S300" s="54">
        <v>33</v>
      </c>
      <c r="T300" s="56">
        <f t="shared" si="47"/>
        <v>165</v>
      </c>
      <c r="U300" s="52">
        <v>5</v>
      </c>
      <c r="V300" s="52">
        <v>35.22</v>
      </c>
      <c r="W300" s="52">
        <f>ROUND(AH300*1.2,2)</f>
        <v>35.22</v>
      </c>
      <c r="X300" s="52">
        <f t="shared" si="52"/>
        <v>176.1</v>
      </c>
      <c r="Y300" s="52"/>
      <c r="Z300" s="52">
        <v>28</v>
      </c>
      <c r="AA300" s="52">
        <f t="shared" si="53"/>
        <v>140</v>
      </c>
      <c r="AB300" s="52"/>
      <c r="AC300" s="52"/>
      <c r="AE300" s="57" t="s">
        <v>115</v>
      </c>
      <c r="AF300" s="57">
        <v>38.619999999999997</v>
      </c>
      <c r="AH300" s="57">
        <v>29.35</v>
      </c>
      <c r="AI300" s="58">
        <v>0</v>
      </c>
      <c r="AJ300" s="57">
        <v>28</v>
      </c>
      <c r="AK300" s="57">
        <f>AJ300*G300</f>
        <v>140</v>
      </c>
      <c r="AP300" s="57">
        <v>1</v>
      </c>
      <c r="AQ300" s="59">
        <v>0</v>
      </c>
      <c r="AR300" s="59">
        <v>0</v>
      </c>
      <c r="AS300" s="60">
        <v>0</v>
      </c>
    </row>
    <row r="301" spans="2:45" s="57" customFormat="1">
      <c r="B301" s="46" t="s">
        <v>1167</v>
      </c>
      <c r="C301" s="46" t="s">
        <v>1168</v>
      </c>
      <c r="D301" s="46" t="s">
        <v>132</v>
      </c>
      <c r="E301" s="46" t="s">
        <v>56</v>
      </c>
      <c r="F301" s="46" t="s">
        <v>1169</v>
      </c>
      <c r="G301" s="61">
        <v>5</v>
      </c>
      <c r="H301" s="48">
        <f t="shared" si="48"/>
        <v>25.1</v>
      </c>
      <c r="I301" s="49">
        <f t="shared" si="54"/>
        <v>125.5</v>
      </c>
      <c r="J301" s="50">
        <v>0.23</v>
      </c>
      <c r="K301" s="51">
        <f t="shared" si="46"/>
        <v>28.865000000000009</v>
      </c>
      <c r="L301" s="51">
        <f t="shared" si="50"/>
        <v>154.36500000000001</v>
      </c>
      <c r="M301" s="52"/>
      <c r="N301" s="53" t="s">
        <v>50</v>
      </c>
      <c r="O301" s="52">
        <v>16.73</v>
      </c>
      <c r="P301" s="54" t="s">
        <v>64</v>
      </c>
      <c r="Q301" s="54">
        <v>12.48</v>
      </c>
      <c r="R301" s="55">
        <v>2</v>
      </c>
      <c r="S301" s="54">
        <v>14</v>
      </c>
      <c r="T301" s="56">
        <f t="shared" si="47"/>
        <v>70</v>
      </c>
      <c r="U301" s="52">
        <v>5</v>
      </c>
      <c r="V301" s="52">
        <v>18.14</v>
      </c>
      <c r="W301" s="52">
        <f t="shared" si="55"/>
        <v>18.14</v>
      </c>
      <c r="X301" s="52">
        <f t="shared" si="52"/>
        <v>90.7</v>
      </c>
      <c r="Y301" s="52"/>
      <c r="Z301" s="52">
        <v>15.07</v>
      </c>
      <c r="AA301" s="52">
        <f t="shared" si="53"/>
        <v>75.349999999999994</v>
      </c>
      <c r="AB301" s="52"/>
      <c r="AC301" s="52"/>
      <c r="AE301" s="57" t="s">
        <v>52</v>
      </c>
      <c r="AH301" s="57">
        <v>13.95</v>
      </c>
      <c r="AI301" s="58">
        <v>1</v>
      </c>
      <c r="AK301" s="57">
        <f t="shared" ref="AK301:AK306" si="57">AH301*G301</f>
        <v>69.75</v>
      </c>
      <c r="AP301" s="57">
        <v>2</v>
      </c>
      <c r="AQ301" s="59" t="s">
        <v>1170</v>
      </c>
      <c r="AR301" s="60">
        <v>14.02</v>
      </c>
      <c r="AS301" s="60">
        <v>280.39999999999998</v>
      </c>
    </row>
    <row r="302" spans="2:45" s="57" customFormat="1">
      <c r="B302" s="46" t="s">
        <v>1171</v>
      </c>
      <c r="C302" s="46" t="s">
        <v>1172</v>
      </c>
      <c r="D302" s="46" t="s">
        <v>132</v>
      </c>
      <c r="E302" s="46" t="s">
        <v>56</v>
      </c>
      <c r="F302" s="46" t="s">
        <v>1173</v>
      </c>
      <c r="G302" s="61">
        <v>2</v>
      </c>
      <c r="H302" s="48">
        <f t="shared" si="48"/>
        <v>23.09</v>
      </c>
      <c r="I302" s="49">
        <f t="shared" si="54"/>
        <v>46.18</v>
      </c>
      <c r="J302" s="50">
        <v>0.23</v>
      </c>
      <c r="K302" s="51">
        <f t="shared" si="46"/>
        <v>10.621400000000001</v>
      </c>
      <c r="L302" s="51">
        <f t="shared" si="50"/>
        <v>56.801400000000001</v>
      </c>
      <c r="M302" s="52"/>
      <c r="N302" s="53" t="s">
        <v>50</v>
      </c>
      <c r="O302" s="52">
        <v>15.39</v>
      </c>
      <c r="P302" s="54" t="s">
        <v>64</v>
      </c>
      <c r="Q302" s="54">
        <v>16.170000000000002</v>
      </c>
      <c r="R302" s="55"/>
      <c r="S302" s="54">
        <v>17</v>
      </c>
      <c r="T302" s="56">
        <f t="shared" si="47"/>
        <v>34</v>
      </c>
      <c r="U302" s="52">
        <v>2</v>
      </c>
      <c r="V302" s="52">
        <v>16.68</v>
      </c>
      <c r="W302" s="52">
        <f t="shared" si="55"/>
        <v>16.68</v>
      </c>
      <c r="X302" s="52">
        <f t="shared" si="52"/>
        <v>33.36</v>
      </c>
      <c r="Y302" s="52"/>
      <c r="Z302" s="52">
        <v>30.23</v>
      </c>
      <c r="AA302" s="52">
        <f t="shared" si="53"/>
        <v>60.46</v>
      </c>
      <c r="AB302" s="52"/>
      <c r="AC302" s="52"/>
      <c r="AE302" s="57" t="s">
        <v>52</v>
      </c>
      <c r="AH302" s="57">
        <v>12.83</v>
      </c>
      <c r="AI302" s="58">
        <v>0</v>
      </c>
      <c r="AK302" s="57">
        <f t="shared" si="57"/>
        <v>25.66</v>
      </c>
      <c r="AP302" s="57">
        <v>1</v>
      </c>
      <c r="AQ302" s="59" t="s">
        <v>1174</v>
      </c>
      <c r="AR302" s="60">
        <v>14.02</v>
      </c>
      <c r="AS302" s="60">
        <v>280.39999999999998</v>
      </c>
    </row>
    <row r="303" spans="2:45" s="57" customFormat="1" ht="22.5">
      <c r="B303" s="46" t="s">
        <v>1175</v>
      </c>
      <c r="C303" s="46" t="s">
        <v>1176</v>
      </c>
      <c r="D303" s="46" t="s">
        <v>106</v>
      </c>
      <c r="E303" s="46" t="s">
        <v>107</v>
      </c>
      <c r="F303" s="46" t="s">
        <v>1177</v>
      </c>
      <c r="G303" s="61">
        <v>5</v>
      </c>
      <c r="H303" s="48">
        <f t="shared" si="48"/>
        <v>35.72</v>
      </c>
      <c r="I303" s="49">
        <f t="shared" si="54"/>
        <v>178.6</v>
      </c>
      <c r="J303" s="50">
        <v>0.23</v>
      </c>
      <c r="K303" s="51">
        <f t="shared" si="46"/>
        <v>41.078000000000003</v>
      </c>
      <c r="L303" s="51">
        <f t="shared" si="50"/>
        <v>219.678</v>
      </c>
      <c r="M303" s="52" t="s">
        <v>1055</v>
      </c>
      <c r="N303" s="53" t="s">
        <v>50</v>
      </c>
      <c r="O303" s="52">
        <v>23.81</v>
      </c>
      <c r="P303" s="54" t="s">
        <v>64</v>
      </c>
      <c r="Q303" s="54">
        <v>7.79</v>
      </c>
      <c r="R303" s="55"/>
      <c r="S303" s="54">
        <v>9</v>
      </c>
      <c r="T303" s="56">
        <f t="shared" si="47"/>
        <v>45</v>
      </c>
      <c r="U303" s="52">
        <v>5</v>
      </c>
      <c r="V303" s="52">
        <v>24.7</v>
      </c>
      <c r="W303" s="52">
        <f t="shared" si="55"/>
        <v>24.7</v>
      </c>
      <c r="X303" s="52">
        <f t="shared" si="52"/>
        <v>123.5</v>
      </c>
      <c r="Y303" s="52"/>
      <c r="Z303" s="52">
        <v>21.14</v>
      </c>
      <c r="AA303" s="52">
        <f t="shared" si="53"/>
        <v>105.7</v>
      </c>
      <c r="AB303" s="52"/>
      <c r="AC303" s="52"/>
      <c r="AE303" s="57" t="s">
        <v>52</v>
      </c>
      <c r="AH303" s="57">
        <v>19</v>
      </c>
      <c r="AI303" s="58">
        <v>0</v>
      </c>
      <c r="AK303" s="57">
        <f t="shared" si="57"/>
        <v>95</v>
      </c>
      <c r="AP303" s="57">
        <v>12</v>
      </c>
      <c r="AQ303" s="59" t="s">
        <v>1178</v>
      </c>
      <c r="AR303" s="60">
        <v>13.76</v>
      </c>
      <c r="AS303" s="60">
        <v>275.2</v>
      </c>
    </row>
    <row r="304" spans="2:45" s="57" customFormat="1">
      <c r="B304" s="46" t="s">
        <v>1179</v>
      </c>
      <c r="C304" s="46" t="s">
        <v>1180</v>
      </c>
      <c r="D304" s="46" t="s">
        <v>112</v>
      </c>
      <c r="E304" s="46" t="s">
        <v>56</v>
      </c>
      <c r="F304" s="46" t="s">
        <v>1181</v>
      </c>
      <c r="G304" s="47">
        <v>30</v>
      </c>
      <c r="H304" s="48">
        <f t="shared" si="48"/>
        <v>18.39</v>
      </c>
      <c r="I304" s="49">
        <f t="shared" si="54"/>
        <v>551.70000000000005</v>
      </c>
      <c r="J304" s="50">
        <v>0.23</v>
      </c>
      <c r="K304" s="51">
        <f t="shared" si="46"/>
        <v>126.89100000000008</v>
      </c>
      <c r="L304" s="51">
        <f t="shared" si="50"/>
        <v>678.59100000000012</v>
      </c>
      <c r="M304" s="52" t="s">
        <v>1182</v>
      </c>
      <c r="N304" s="53" t="s">
        <v>50</v>
      </c>
      <c r="O304" s="52">
        <v>12.26</v>
      </c>
      <c r="P304" s="54" t="s">
        <v>64</v>
      </c>
      <c r="Q304" s="54">
        <v>5.99</v>
      </c>
      <c r="R304" s="55">
        <v>18</v>
      </c>
      <c r="S304" s="54">
        <v>7</v>
      </c>
      <c r="T304" s="56">
        <f t="shared" si="47"/>
        <v>210</v>
      </c>
      <c r="U304" s="52">
        <v>60</v>
      </c>
      <c r="V304" s="52">
        <v>13</v>
      </c>
      <c r="W304" s="52">
        <f t="shared" si="55"/>
        <v>13</v>
      </c>
      <c r="X304" s="52">
        <f t="shared" si="52"/>
        <v>390</v>
      </c>
      <c r="Y304" s="52"/>
      <c r="Z304" s="52">
        <v>10.18</v>
      </c>
      <c r="AA304" s="52">
        <f t="shared" si="53"/>
        <v>305.39999999999998</v>
      </c>
      <c r="AB304" s="52"/>
      <c r="AC304" s="52"/>
      <c r="AE304" s="57" t="s">
        <v>52</v>
      </c>
      <c r="AH304" s="57">
        <v>10</v>
      </c>
      <c r="AI304" s="58">
        <v>48</v>
      </c>
      <c r="AK304" s="57">
        <f t="shared" si="57"/>
        <v>300</v>
      </c>
      <c r="AP304" s="57">
        <v>0</v>
      </c>
      <c r="AQ304" s="59" t="s">
        <v>1183</v>
      </c>
      <c r="AR304" s="60">
        <v>14.02</v>
      </c>
      <c r="AS304" s="60">
        <v>280.39999999999998</v>
      </c>
    </row>
    <row r="305" spans="2:45" s="57" customFormat="1">
      <c r="B305" s="46" t="s">
        <v>1184</v>
      </c>
      <c r="C305" s="46" t="s">
        <v>1185</v>
      </c>
      <c r="D305" s="46" t="s">
        <v>112</v>
      </c>
      <c r="E305" s="46" t="s">
        <v>56</v>
      </c>
      <c r="F305" s="46" t="s">
        <v>1186</v>
      </c>
      <c r="G305" s="61">
        <v>8</v>
      </c>
      <c r="H305" s="48">
        <f t="shared" si="48"/>
        <v>45.29</v>
      </c>
      <c r="I305" s="49">
        <f t="shared" si="54"/>
        <v>362.32</v>
      </c>
      <c r="J305" s="50">
        <v>0.23</v>
      </c>
      <c r="K305" s="51">
        <f t="shared" si="46"/>
        <v>83.33359999999999</v>
      </c>
      <c r="L305" s="51">
        <f t="shared" si="50"/>
        <v>445.65359999999998</v>
      </c>
      <c r="M305" s="52"/>
      <c r="N305" s="53" t="s">
        <v>50</v>
      </c>
      <c r="O305" s="52">
        <v>30.19</v>
      </c>
      <c r="P305" s="54" t="s">
        <v>64</v>
      </c>
      <c r="Q305" s="54">
        <v>24.31</v>
      </c>
      <c r="R305" s="55">
        <v>1</v>
      </c>
      <c r="S305" s="54">
        <v>27</v>
      </c>
      <c r="T305" s="56">
        <f t="shared" si="47"/>
        <v>216</v>
      </c>
      <c r="U305" s="52">
        <v>8</v>
      </c>
      <c r="V305" s="52">
        <v>32.75</v>
      </c>
      <c r="W305" s="52">
        <f t="shared" si="55"/>
        <v>32.75</v>
      </c>
      <c r="X305" s="52">
        <f t="shared" si="52"/>
        <v>262</v>
      </c>
      <c r="Y305" s="52"/>
      <c r="Z305" s="52">
        <v>25.2</v>
      </c>
      <c r="AA305" s="52">
        <f t="shared" si="53"/>
        <v>201.6</v>
      </c>
      <c r="AB305" s="52"/>
      <c r="AC305" s="52"/>
      <c r="AE305" s="57" t="s">
        <v>52</v>
      </c>
      <c r="AH305" s="57">
        <v>25.19</v>
      </c>
      <c r="AI305" s="58">
        <v>4</v>
      </c>
      <c r="AK305" s="57">
        <f t="shared" si="57"/>
        <v>201.52</v>
      </c>
      <c r="AP305" s="57">
        <v>0</v>
      </c>
      <c r="AQ305" s="59">
        <v>0</v>
      </c>
      <c r="AR305" s="59">
        <v>0</v>
      </c>
      <c r="AS305" s="60">
        <v>0</v>
      </c>
    </row>
    <row r="306" spans="2:45" s="57" customFormat="1" ht="22.5">
      <c r="B306" s="46" t="s">
        <v>1187</v>
      </c>
      <c r="C306" s="46" t="s">
        <v>1188</v>
      </c>
      <c r="D306" s="46" t="s">
        <v>132</v>
      </c>
      <c r="E306" s="46" t="s">
        <v>56</v>
      </c>
      <c r="F306" s="46" t="s">
        <v>1189</v>
      </c>
      <c r="G306" s="61">
        <v>2</v>
      </c>
      <c r="H306" s="48">
        <f t="shared" si="48"/>
        <v>20.84</v>
      </c>
      <c r="I306" s="49">
        <f t="shared" si="54"/>
        <v>41.68</v>
      </c>
      <c r="J306" s="50">
        <v>0.23</v>
      </c>
      <c r="K306" s="51">
        <f t="shared" si="46"/>
        <v>9.5864000000000047</v>
      </c>
      <c r="L306" s="51">
        <f t="shared" si="50"/>
        <v>51.266400000000004</v>
      </c>
      <c r="M306" s="52"/>
      <c r="N306" s="53" t="s">
        <v>114</v>
      </c>
      <c r="O306" s="52">
        <v>13.89</v>
      </c>
      <c r="P306" s="54" t="s">
        <v>24</v>
      </c>
      <c r="Q306" s="54"/>
      <c r="R306" s="55">
        <v>2</v>
      </c>
      <c r="S306" s="54">
        <v>15</v>
      </c>
      <c r="T306" s="56">
        <f t="shared" si="47"/>
        <v>30</v>
      </c>
      <c r="U306" s="52">
        <v>2</v>
      </c>
      <c r="V306" s="52">
        <v>18.059999999999999</v>
      </c>
      <c r="W306" s="52">
        <f t="shared" si="55"/>
        <v>18.059999999999999</v>
      </c>
      <c r="X306" s="52">
        <f t="shared" si="52"/>
        <v>36.119999999999997</v>
      </c>
      <c r="Y306" s="52"/>
      <c r="Z306" s="52">
        <v>14</v>
      </c>
      <c r="AA306" s="52">
        <f t="shared" si="53"/>
        <v>28</v>
      </c>
      <c r="AB306" s="52"/>
      <c r="AC306" s="52"/>
      <c r="AE306" s="57" t="s">
        <v>115</v>
      </c>
      <c r="AF306" s="57">
        <v>18.27</v>
      </c>
      <c r="AH306" s="57">
        <v>13.89</v>
      </c>
      <c r="AI306" s="58">
        <v>0</v>
      </c>
      <c r="AK306" s="57">
        <f t="shared" si="57"/>
        <v>27.78</v>
      </c>
      <c r="AP306" s="57">
        <v>8</v>
      </c>
      <c r="AQ306" s="59">
        <v>0</v>
      </c>
      <c r="AR306" s="59">
        <v>0</v>
      </c>
      <c r="AS306" s="60">
        <v>0</v>
      </c>
    </row>
    <row r="307" spans="2:45" s="57" customFormat="1" ht="22.5">
      <c r="B307" s="46" t="s">
        <v>1190</v>
      </c>
      <c r="C307" s="46" t="s">
        <v>1191</v>
      </c>
      <c r="D307" s="46" t="s">
        <v>622</v>
      </c>
      <c r="E307" s="46" t="s">
        <v>56</v>
      </c>
      <c r="F307" s="46" t="s">
        <v>1192</v>
      </c>
      <c r="G307" s="61">
        <v>2</v>
      </c>
      <c r="H307" s="48">
        <f t="shared" si="48"/>
        <v>62.52</v>
      </c>
      <c r="I307" s="49">
        <f t="shared" si="54"/>
        <v>125.04</v>
      </c>
      <c r="J307" s="50">
        <v>0.23</v>
      </c>
      <c r="K307" s="51">
        <f t="shared" si="46"/>
        <v>28.759200000000007</v>
      </c>
      <c r="L307" s="51">
        <f t="shared" si="50"/>
        <v>153.79920000000001</v>
      </c>
      <c r="M307" s="52"/>
      <c r="N307" s="53" t="s">
        <v>114</v>
      </c>
      <c r="O307" s="52">
        <v>41.68</v>
      </c>
      <c r="P307" s="54" t="s">
        <v>24</v>
      </c>
      <c r="Q307" s="54"/>
      <c r="R307" s="55"/>
      <c r="S307" s="54">
        <v>45</v>
      </c>
      <c r="T307" s="56">
        <f t="shared" si="47"/>
        <v>90</v>
      </c>
      <c r="U307" s="52">
        <v>2</v>
      </c>
      <c r="V307" s="52">
        <v>54.18</v>
      </c>
      <c r="W307" s="52">
        <f t="shared" si="55"/>
        <v>54.18</v>
      </c>
      <c r="X307" s="52">
        <f t="shared" si="52"/>
        <v>108.36</v>
      </c>
      <c r="Y307" s="52"/>
      <c r="Z307" s="52">
        <v>45.6</v>
      </c>
      <c r="AA307" s="52">
        <f t="shared" si="53"/>
        <v>91.2</v>
      </c>
      <c r="AB307" s="52"/>
      <c r="AC307" s="52"/>
      <c r="AE307" s="58" t="s">
        <v>115</v>
      </c>
      <c r="AF307" s="58">
        <v>54.84</v>
      </c>
      <c r="AG307" s="58"/>
      <c r="AH307" s="58">
        <v>41.68</v>
      </c>
      <c r="AI307" s="58" t="s">
        <v>239</v>
      </c>
      <c r="AJ307" s="57">
        <v>40</v>
      </c>
      <c r="AK307" s="57">
        <f>AJ307*G307</f>
        <v>80</v>
      </c>
      <c r="AP307" s="57">
        <v>3</v>
      </c>
      <c r="AQ307" s="59" t="s">
        <v>1193</v>
      </c>
      <c r="AR307" s="60">
        <v>24</v>
      </c>
      <c r="AS307" s="60">
        <v>480</v>
      </c>
    </row>
    <row r="308" spans="2:45" s="57" customFormat="1">
      <c r="B308" s="46" t="s">
        <v>1194</v>
      </c>
      <c r="C308" s="46" t="s">
        <v>1195</v>
      </c>
      <c r="D308" s="46" t="s">
        <v>112</v>
      </c>
      <c r="E308" s="46" t="s">
        <v>56</v>
      </c>
      <c r="F308" s="46" t="s">
        <v>1196</v>
      </c>
      <c r="G308" s="61">
        <v>2</v>
      </c>
      <c r="H308" s="48">
        <f t="shared" si="48"/>
        <v>41.04</v>
      </c>
      <c r="I308" s="49">
        <f t="shared" si="54"/>
        <v>82.08</v>
      </c>
      <c r="J308" s="50">
        <v>0.23</v>
      </c>
      <c r="K308" s="51">
        <f t="shared" si="46"/>
        <v>18.878399999999999</v>
      </c>
      <c r="L308" s="51">
        <f t="shared" si="50"/>
        <v>100.9584</v>
      </c>
      <c r="M308" s="52"/>
      <c r="N308" s="53" t="s">
        <v>50</v>
      </c>
      <c r="O308" s="52">
        <v>27.36</v>
      </c>
      <c r="P308" s="54" t="s">
        <v>64</v>
      </c>
      <c r="Q308" s="54">
        <v>41.54</v>
      </c>
      <c r="R308" s="55"/>
      <c r="S308" s="54">
        <v>31</v>
      </c>
      <c r="T308" s="56">
        <f t="shared" si="47"/>
        <v>62</v>
      </c>
      <c r="U308" s="52">
        <v>2</v>
      </c>
      <c r="V308" s="52">
        <v>52</v>
      </c>
      <c r="W308" s="52">
        <f t="shared" si="55"/>
        <v>52</v>
      </c>
      <c r="X308" s="52">
        <f t="shared" si="52"/>
        <v>104</v>
      </c>
      <c r="Y308" s="52"/>
      <c r="Z308" s="52">
        <v>50.05</v>
      </c>
      <c r="AA308" s="52">
        <f t="shared" si="53"/>
        <v>100.1</v>
      </c>
      <c r="AB308" s="52"/>
      <c r="AC308" s="52"/>
      <c r="AE308" s="57" t="s">
        <v>52</v>
      </c>
      <c r="AH308" s="57">
        <v>40</v>
      </c>
      <c r="AI308" s="58">
        <v>0</v>
      </c>
      <c r="AK308" s="57">
        <f>AH308*G308</f>
        <v>80</v>
      </c>
      <c r="AP308" s="57">
        <v>3</v>
      </c>
      <c r="AQ308" s="59">
        <v>0</v>
      </c>
      <c r="AR308" s="59">
        <v>0</v>
      </c>
      <c r="AS308" s="60">
        <v>0</v>
      </c>
    </row>
    <row r="309" spans="2:45" s="57" customFormat="1">
      <c r="B309" s="46" t="s">
        <v>1197</v>
      </c>
      <c r="C309" s="46" t="s">
        <v>1198</v>
      </c>
      <c r="D309" s="46" t="s">
        <v>112</v>
      </c>
      <c r="E309" s="46" t="s">
        <v>56</v>
      </c>
      <c r="F309" s="46" t="s">
        <v>1199</v>
      </c>
      <c r="G309" s="47">
        <v>2</v>
      </c>
      <c r="H309" s="48">
        <f>ROUND(O309*1.1,2)</f>
        <v>111.34</v>
      </c>
      <c r="I309" s="49">
        <f t="shared" si="54"/>
        <v>222.68</v>
      </c>
      <c r="J309" s="50">
        <v>0.23</v>
      </c>
      <c r="K309" s="51">
        <f t="shared" si="46"/>
        <v>51.216400000000021</v>
      </c>
      <c r="L309" s="51">
        <f t="shared" si="50"/>
        <v>273.89640000000003</v>
      </c>
      <c r="M309" s="52" t="s">
        <v>1200</v>
      </c>
      <c r="N309" s="53" t="s">
        <v>50</v>
      </c>
      <c r="O309" s="52">
        <v>101.22</v>
      </c>
      <c r="P309" s="54" t="s">
        <v>64</v>
      </c>
      <c r="Q309" s="54">
        <v>24.69</v>
      </c>
      <c r="R309" s="55"/>
      <c r="S309" s="54">
        <v>27</v>
      </c>
      <c r="T309" s="56">
        <f t="shared" si="47"/>
        <v>54</v>
      </c>
      <c r="U309" s="52">
        <v>5</v>
      </c>
      <c r="V309" s="52">
        <v>44.2</v>
      </c>
      <c r="W309" s="52">
        <f t="shared" si="55"/>
        <v>44.2</v>
      </c>
      <c r="X309" s="52">
        <f t="shared" si="52"/>
        <v>88.4</v>
      </c>
      <c r="Y309" s="52"/>
      <c r="Z309" s="52">
        <v>40.520000000000003</v>
      </c>
      <c r="AA309" s="52">
        <f t="shared" si="53"/>
        <v>81.040000000000006</v>
      </c>
      <c r="AB309" s="52"/>
      <c r="AC309" s="52"/>
      <c r="AE309" s="57" t="s">
        <v>52</v>
      </c>
      <c r="AH309" s="57">
        <v>34</v>
      </c>
      <c r="AI309" s="58">
        <v>2</v>
      </c>
      <c r="AK309" s="57">
        <f>AH309*G309</f>
        <v>68</v>
      </c>
      <c r="AP309" s="57">
        <v>0</v>
      </c>
      <c r="AQ309" s="59">
        <v>0</v>
      </c>
      <c r="AR309" s="59">
        <v>0</v>
      </c>
      <c r="AS309" s="60">
        <v>0</v>
      </c>
    </row>
    <row r="310" spans="2:45" s="57" customFormat="1">
      <c r="B310" s="46" t="s">
        <v>1201</v>
      </c>
      <c r="C310" s="46" t="s">
        <v>1202</v>
      </c>
      <c r="D310" s="46" t="s">
        <v>112</v>
      </c>
      <c r="E310" s="46" t="s">
        <v>56</v>
      </c>
      <c r="F310" s="46" t="s">
        <v>1203</v>
      </c>
      <c r="G310" s="61">
        <v>20</v>
      </c>
      <c r="H310" s="48">
        <f t="shared" si="48"/>
        <v>26.31</v>
      </c>
      <c r="I310" s="49">
        <f t="shared" si="54"/>
        <v>526.19999999999993</v>
      </c>
      <c r="J310" s="50">
        <v>0.23</v>
      </c>
      <c r="K310" s="51">
        <f t="shared" si="46"/>
        <v>121.02599999999995</v>
      </c>
      <c r="L310" s="51">
        <f t="shared" si="50"/>
        <v>647.22599999999989</v>
      </c>
      <c r="M310" s="52"/>
      <c r="N310" s="53" t="s">
        <v>50</v>
      </c>
      <c r="O310" s="52">
        <v>17.54</v>
      </c>
      <c r="P310" s="54" t="s">
        <v>64</v>
      </c>
      <c r="Q310" s="54">
        <v>20.87</v>
      </c>
      <c r="R310" s="55">
        <v>4</v>
      </c>
      <c r="S310" s="54">
        <v>19</v>
      </c>
      <c r="T310" s="56">
        <f t="shared" si="47"/>
        <v>380</v>
      </c>
      <c r="U310" s="52">
        <v>20</v>
      </c>
      <c r="V310" s="52">
        <v>25.35</v>
      </c>
      <c r="W310" s="52">
        <f t="shared" si="55"/>
        <v>25.35</v>
      </c>
      <c r="X310" s="52">
        <f t="shared" si="52"/>
        <v>507</v>
      </c>
      <c r="Y310" s="52"/>
      <c r="Z310" s="52">
        <v>23.59</v>
      </c>
      <c r="AA310" s="52">
        <f t="shared" si="53"/>
        <v>471.8</v>
      </c>
      <c r="AB310" s="52"/>
      <c r="AC310" s="52"/>
      <c r="AE310" s="57" t="s">
        <v>52</v>
      </c>
      <c r="AH310" s="57">
        <v>19.5</v>
      </c>
      <c r="AI310" s="58">
        <v>15</v>
      </c>
      <c r="AK310" s="57">
        <f>AH310*G310</f>
        <v>390</v>
      </c>
      <c r="AP310" s="57">
        <v>1</v>
      </c>
      <c r="AQ310" s="59" t="s">
        <v>1204</v>
      </c>
      <c r="AR310" s="60">
        <v>90</v>
      </c>
      <c r="AS310" s="60">
        <v>450</v>
      </c>
    </row>
    <row r="311" spans="2:45" s="57" customFormat="1" ht="22.5">
      <c r="B311" s="46" t="s">
        <v>1205</v>
      </c>
      <c r="C311" s="64" t="s">
        <v>1206</v>
      </c>
      <c r="D311" s="64" t="s">
        <v>328</v>
      </c>
      <c r="E311" s="64" t="s">
        <v>56</v>
      </c>
      <c r="F311" s="64" t="s">
        <v>1207</v>
      </c>
      <c r="G311" s="47">
        <v>6</v>
      </c>
      <c r="H311" s="65">
        <v>345</v>
      </c>
      <c r="I311" s="49">
        <f t="shared" si="54"/>
        <v>2070</v>
      </c>
      <c r="J311" s="50">
        <v>0.23</v>
      </c>
      <c r="K311" s="51">
        <f t="shared" si="46"/>
        <v>476.09999999999991</v>
      </c>
      <c r="L311" s="51">
        <f t="shared" si="50"/>
        <v>2546.1</v>
      </c>
      <c r="M311" s="52" t="s">
        <v>237</v>
      </c>
      <c r="N311" s="53" t="s">
        <v>114</v>
      </c>
      <c r="O311" s="52">
        <v>440.8</v>
      </c>
      <c r="P311" s="54" t="s">
        <v>24</v>
      </c>
      <c r="Q311" s="54"/>
      <c r="R311" s="55">
        <v>1</v>
      </c>
      <c r="S311" s="54">
        <v>480</v>
      </c>
      <c r="T311" s="56">
        <f t="shared" si="47"/>
        <v>2880</v>
      </c>
      <c r="U311" s="52">
        <v>4</v>
      </c>
      <c r="V311" s="52">
        <v>308.56</v>
      </c>
      <c r="W311" s="52">
        <f>ROUND(AH311*0.7,2)</f>
        <v>308.56</v>
      </c>
      <c r="X311" s="52">
        <f t="shared" si="52"/>
        <v>1851.3600000000001</v>
      </c>
      <c r="Y311" s="52" t="s">
        <v>447</v>
      </c>
      <c r="Z311" s="52">
        <v>430</v>
      </c>
      <c r="AA311" s="52">
        <f t="shared" si="53"/>
        <v>2580</v>
      </c>
      <c r="AB311" s="52" t="s">
        <v>239</v>
      </c>
      <c r="AC311" s="52"/>
      <c r="AE311" s="58" t="s">
        <v>115</v>
      </c>
      <c r="AF311" s="58">
        <v>580</v>
      </c>
      <c r="AG311" s="58"/>
      <c r="AH311" s="58">
        <v>440.8</v>
      </c>
      <c r="AI311" s="58" t="s">
        <v>239</v>
      </c>
      <c r="AJ311" s="57">
        <v>429</v>
      </c>
      <c r="AK311" s="57">
        <f>AJ311*G311</f>
        <v>2574</v>
      </c>
      <c r="AP311" s="57">
        <v>0</v>
      </c>
      <c r="AQ311" s="59">
        <v>0</v>
      </c>
      <c r="AR311" s="59">
        <v>0</v>
      </c>
      <c r="AS311" s="60">
        <v>0</v>
      </c>
    </row>
    <row r="312" spans="2:45" s="57" customFormat="1" ht="22.5">
      <c r="B312" s="46" t="s">
        <v>1208</v>
      </c>
      <c r="C312" s="46" t="s">
        <v>1209</v>
      </c>
      <c r="D312" s="46" t="s">
        <v>132</v>
      </c>
      <c r="E312" s="46" t="s">
        <v>56</v>
      </c>
      <c r="F312" s="64" t="s">
        <v>1210</v>
      </c>
      <c r="G312" s="47">
        <v>2</v>
      </c>
      <c r="H312" s="48">
        <f t="shared" si="48"/>
        <v>202.13</v>
      </c>
      <c r="I312" s="49">
        <f t="shared" si="54"/>
        <v>404.26</v>
      </c>
      <c r="J312" s="50">
        <v>0.23</v>
      </c>
      <c r="K312" s="51">
        <f t="shared" si="46"/>
        <v>92.979800000000012</v>
      </c>
      <c r="L312" s="51">
        <f t="shared" si="50"/>
        <v>497.2398</v>
      </c>
      <c r="M312" s="52"/>
      <c r="N312" s="53" t="s">
        <v>114</v>
      </c>
      <c r="O312" s="52">
        <v>134.75</v>
      </c>
      <c r="P312" s="54" t="s">
        <v>24</v>
      </c>
      <c r="Q312" s="54"/>
      <c r="R312" s="55">
        <v>5</v>
      </c>
      <c r="S312" s="54">
        <v>150</v>
      </c>
      <c r="T312" s="56">
        <f t="shared" si="47"/>
        <v>300</v>
      </c>
      <c r="U312" s="52">
        <v>2</v>
      </c>
      <c r="V312" s="52">
        <v>175.18</v>
      </c>
      <c r="W312" s="52">
        <f t="shared" si="55"/>
        <v>175.18</v>
      </c>
      <c r="X312" s="52">
        <f t="shared" si="52"/>
        <v>350.36</v>
      </c>
      <c r="Y312" s="52"/>
      <c r="Z312" s="52">
        <v>153.6</v>
      </c>
      <c r="AA312" s="52">
        <f t="shared" si="53"/>
        <v>307.2</v>
      </c>
      <c r="AB312" s="52"/>
      <c r="AC312" s="52"/>
      <c r="AE312" s="57" t="s">
        <v>115</v>
      </c>
      <c r="AF312" s="57">
        <v>177.3</v>
      </c>
      <c r="AH312" s="57">
        <v>134.75</v>
      </c>
      <c r="AI312" s="58">
        <v>2</v>
      </c>
      <c r="AJ312" s="57">
        <v>130</v>
      </c>
      <c r="AK312" s="57">
        <f>AJ312*G312</f>
        <v>260</v>
      </c>
      <c r="AP312" s="57">
        <v>0</v>
      </c>
      <c r="AQ312" s="59" t="s">
        <v>1211</v>
      </c>
      <c r="AR312" s="60">
        <v>18.646999999999998</v>
      </c>
      <c r="AS312" s="60">
        <v>186.46999999999997</v>
      </c>
    </row>
    <row r="313" spans="2:45" s="57" customFormat="1" ht="22.5">
      <c r="B313" s="46" t="s">
        <v>1212</v>
      </c>
      <c r="C313" s="46" t="s">
        <v>1213</v>
      </c>
      <c r="D313" s="46" t="s">
        <v>112</v>
      </c>
      <c r="E313" s="46" t="s">
        <v>56</v>
      </c>
      <c r="F313" s="64" t="s">
        <v>1214</v>
      </c>
      <c r="G313" s="47">
        <v>5</v>
      </c>
      <c r="H313" s="48">
        <f t="shared" si="48"/>
        <v>37.1</v>
      </c>
      <c r="I313" s="49">
        <f t="shared" si="54"/>
        <v>185.5</v>
      </c>
      <c r="J313" s="50">
        <v>0.23</v>
      </c>
      <c r="K313" s="51">
        <f t="shared" si="46"/>
        <v>42.664999999999992</v>
      </c>
      <c r="L313" s="51">
        <f t="shared" si="50"/>
        <v>228.16499999999999</v>
      </c>
      <c r="M313" s="52" t="s">
        <v>177</v>
      </c>
      <c r="N313" s="53" t="s">
        <v>114</v>
      </c>
      <c r="O313" s="52">
        <v>24.73</v>
      </c>
      <c r="P313" s="54" t="s">
        <v>24</v>
      </c>
      <c r="Q313" s="54"/>
      <c r="R313" s="55">
        <v>2</v>
      </c>
      <c r="S313" s="54">
        <v>27</v>
      </c>
      <c r="T313" s="56">
        <f t="shared" si="47"/>
        <v>135</v>
      </c>
      <c r="U313" s="52">
        <v>5</v>
      </c>
      <c r="V313" s="52">
        <v>32</v>
      </c>
      <c r="W313" s="52">
        <v>32</v>
      </c>
      <c r="X313" s="52">
        <f t="shared" si="52"/>
        <v>160</v>
      </c>
      <c r="Y313" s="52" t="s">
        <v>1017</v>
      </c>
      <c r="Z313" s="52">
        <v>50.56</v>
      </c>
      <c r="AA313" s="52">
        <f t="shared" si="53"/>
        <v>252.8</v>
      </c>
      <c r="AB313" s="52"/>
      <c r="AC313" s="52"/>
      <c r="AD313" s="57" t="s">
        <v>764</v>
      </c>
      <c r="AE313" s="57" t="s">
        <v>52</v>
      </c>
      <c r="AH313" s="57">
        <v>73.06</v>
      </c>
      <c r="AI313" s="58">
        <v>2</v>
      </c>
      <c r="AK313" s="57">
        <f>AH313*G313</f>
        <v>365.3</v>
      </c>
      <c r="AP313" s="57">
        <v>48</v>
      </c>
      <c r="AQ313" s="59" t="s">
        <v>1215</v>
      </c>
      <c r="AR313" s="60">
        <v>20.3</v>
      </c>
      <c r="AS313" s="60">
        <v>81.2</v>
      </c>
    </row>
    <row r="314" spans="2:45" s="57" customFormat="1">
      <c r="B314" s="46" t="s">
        <v>1216</v>
      </c>
      <c r="C314" s="46" t="s">
        <v>1217</v>
      </c>
      <c r="D314" s="46" t="s">
        <v>112</v>
      </c>
      <c r="E314" s="46" t="s">
        <v>56</v>
      </c>
      <c r="F314" s="46" t="s">
        <v>1218</v>
      </c>
      <c r="G314" s="61">
        <v>6</v>
      </c>
      <c r="H314" s="48">
        <f t="shared" si="48"/>
        <v>35.75</v>
      </c>
      <c r="I314" s="49">
        <f t="shared" si="54"/>
        <v>214.5</v>
      </c>
      <c r="J314" s="50">
        <v>0.23</v>
      </c>
      <c r="K314" s="51">
        <f t="shared" si="46"/>
        <v>49.33499999999998</v>
      </c>
      <c r="L314" s="51">
        <f t="shared" si="50"/>
        <v>263.83499999999998</v>
      </c>
      <c r="M314" s="52"/>
      <c r="N314" s="53" t="s">
        <v>50</v>
      </c>
      <c r="O314" s="52">
        <v>23.83</v>
      </c>
      <c r="P314" s="54" t="s">
        <v>64</v>
      </c>
      <c r="Q314" s="54">
        <v>16.82</v>
      </c>
      <c r="R314" s="55">
        <v>3</v>
      </c>
      <c r="S314" s="54">
        <v>18</v>
      </c>
      <c r="T314" s="56">
        <f t="shared" si="47"/>
        <v>108</v>
      </c>
      <c r="U314" s="52">
        <v>6</v>
      </c>
      <c r="V314" s="52">
        <v>35.32</v>
      </c>
      <c r="W314" s="52">
        <f t="shared" si="55"/>
        <v>35.32</v>
      </c>
      <c r="X314" s="52">
        <f t="shared" si="52"/>
        <v>211.92000000000002</v>
      </c>
      <c r="Y314" s="52"/>
      <c r="Z314" s="52">
        <v>19.2</v>
      </c>
      <c r="AA314" s="52">
        <f t="shared" si="53"/>
        <v>115.19999999999999</v>
      </c>
      <c r="AB314" s="52"/>
      <c r="AC314" s="52"/>
      <c r="AE314" s="57" t="s">
        <v>52</v>
      </c>
      <c r="AH314" s="57">
        <v>27.17</v>
      </c>
      <c r="AI314" s="58">
        <v>3</v>
      </c>
      <c r="AK314" s="57">
        <f>AH314*G314</f>
        <v>163.02000000000001</v>
      </c>
      <c r="AP314" s="57">
        <v>4</v>
      </c>
      <c r="AQ314" s="59">
        <v>0</v>
      </c>
      <c r="AR314" s="59">
        <v>0</v>
      </c>
      <c r="AS314" s="60">
        <v>0</v>
      </c>
    </row>
    <row r="315" spans="2:45" s="57" customFormat="1">
      <c r="B315" s="46" t="s">
        <v>1219</v>
      </c>
      <c r="C315" s="46" t="s">
        <v>1220</v>
      </c>
      <c r="D315" s="46" t="s">
        <v>132</v>
      </c>
      <c r="E315" s="46" t="s">
        <v>56</v>
      </c>
      <c r="F315" s="46" t="s">
        <v>1221</v>
      </c>
      <c r="G315" s="61">
        <v>2</v>
      </c>
      <c r="H315" s="48">
        <f t="shared" si="48"/>
        <v>42.54</v>
      </c>
      <c r="I315" s="49">
        <f t="shared" si="54"/>
        <v>85.08</v>
      </c>
      <c r="J315" s="50">
        <v>0.23</v>
      </c>
      <c r="K315" s="51">
        <f t="shared" si="46"/>
        <v>19.568399999999997</v>
      </c>
      <c r="L315" s="51">
        <f t="shared" si="50"/>
        <v>104.6484</v>
      </c>
      <c r="M315" s="52"/>
      <c r="N315" s="53" t="s">
        <v>50</v>
      </c>
      <c r="O315" s="52">
        <v>28.36</v>
      </c>
      <c r="P315" s="54" t="s">
        <v>64</v>
      </c>
      <c r="Q315" s="54">
        <v>15.66</v>
      </c>
      <c r="R315" s="55"/>
      <c r="S315" s="54">
        <v>17</v>
      </c>
      <c r="T315" s="56">
        <f t="shared" si="47"/>
        <v>34</v>
      </c>
      <c r="U315" s="52">
        <v>2</v>
      </c>
      <c r="V315" s="52">
        <v>73.849999999999994</v>
      </c>
      <c r="W315" s="52">
        <f t="shared" si="55"/>
        <v>73.849999999999994</v>
      </c>
      <c r="X315" s="52">
        <f t="shared" si="52"/>
        <v>147.69999999999999</v>
      </c>
      <c r="Y315" s="52"/>
      <c r="Z315" s="52">
        <v>25.45</v>
      </c>
      <c r="AA315" s="52">
        <f t="shared" si="53"/>
        <v>50.9</v>
      </c>
      <c r="AB315" s="52"/>
      <c r="AC315" s="52"/>
      <c r="AE315" s="57" t="s">
        <v>52</v>
      </c>
      <c r="AH315" s="57">
        <v>56.81</v>
      </c>
      <c r="AI315" s="58">
        <v>0</v>
      </c>
      <c r="AK315" s="57">
        <f>AH315*G315</f>
        <v>113.62</v>
      </c>
      <c r="AP315" s="57">
        <v>0</v>
      </c>
      <c r="AQ315" s="59">
        <v>0</v>
      </c>
      <c r="AR315" s="59">
        <v>0</v>
      </c>
      <c r="AS315" s="60">
        <v>0</v>
      </c>
    </row>
    <row r="316" spans="2:45" s="57" customFormat="1" ht="22.5">
      <c r="B316" s="46" t="s">
        <v>1222</v>
      </c>
      <c r="C316" s="46" t="s">
        <v>1223</v>
      </c>
      <c r="D316" s="46" t="s">
        <v>112</v>
      </c>
      <c r="E316" s="46" t="s">
        <v>56</v>
      </c>
      <c r="F316" s="46" t="s">
        <v>1224</v>
      </c>
      <c r="G316" s="61">
        <v>5</v>
      </c>
      <c r="H316" s="48">
        <f t="shared" si="48"/>
        <v>25.14</v>
      </c>
      <c r="I316" s="49">
        <f t="shared" si="54"/>
        <v>125.7</v>
      </c>
      <c r="J316" s="50">
        <v>0.23</v>
      </c>
      <c r="K316" s="51">
        <f t="shared" si="46"/>
        <v>28.910999999999987</v>
      </c>
      <c r="L316" s="51">
        <f t="shared" si="50"/>
        <v>154.61099999999999</v>
      </c>
      <c r="M316" s="52"/>
      <c r="N316" s="53" t="s">
        <v>114</v>
      </c>
      <c r="O316" s="52">
        <v>16.760000000000002</v>
      </c>
      <c r="P316" s="54" t="s">
        <v>24</v>
      </c>
      <c r="Q316" s="54"/>
      <c r="R316" s="55">
        <v>1</v>
      </c>
      <c r="S316" s="54">
        <v>18</v>
      </c>
      <c r="T316" s="56">
        <f t="shared" si="47"/>
        <v>90</v>
      </c>
      <c r="U316" s="52">
        <v>5</v>
      </c>
      <c r="V316" s="52">
        <v>21.79</v>
      </c>
      <c r="W316" s="52">
        <f t="shared" si="55"/>
        <v>21.79</v>
      </c>
      <c r="X316" s="52">
        <f t="shared" si="52"/>
        <v>108.94999999999999</v>
      </c>
      <c r="Y316" s="52"/>
      <c r="Z316" s="52">
        <v>17</v>
      </c>
      <c r="AA316" s="52">
        <f t="shared" si="53"/>
        <v>85</v>
      </c>
      <c r="AB316" s="52"/>
      <c r="AC316" s="52"/>
      <c r="AE316" s="57" t="s">
        <v>115</v>
      </c>
      <c r="AF316" s="57">
        <v>22.06</v>
      </c>
      <c r="AH316" s="57">
        <v>16.760000000000002</v>
      </c>
      <c r="AI316" s="58">
        <v>2</v>
      </c>
      <c r="AJ316" s="57">
        <v>16</v>
      </c>
      <c r="AK316" s="57">
        <f>AJ316*G316</f>
        <v>80</v>
      </c>
      <c r="AP316" s="57">
        <v>0</v>
      </c>
      <c r="AQ316" s="59" t="s">
        <v>1225</v>
      </c>
      <c r="AR316" s="60">
        <v>13.948999999999998</v>
      </c>
      <c r="AS316" s="60">
        <v>139.48999999999998</v>
      </c>
    </row>
    <row r="317" spans="2:45" s="57" customFormat="1" ht="22.5">
      <c r="B317" s="46" t="s">
        <v>1226</v>
      </c>
      <c r="C317" s="46" t="s">
        <v>1227</v>
      </c>
      <c r="D317" s="46" t="s">
        <v>112</v>
      </c>
      <c r="E317" s="46" t="s">
        <v>56</v>
      </c>
      <c r="F317" s="46" t="s">
        <v>1228</v>
      </c>
      <c r="G317" s="61">
        <v>3</v>
      </c>
      <c r="H317" s="48">
        <f t="shared" si="48"/>
        <v>45.8</v>
      </c>
      <c r="I317" s="49">
        <f t="shared" si="54"/>
        <v>137.39999999999998</v>
      </c>
      <c r="J317" s="50">
        <v>0.23</v>
      </c>
      <c r="K317" s="51">
        <f t="shared" si="46"/>
        <v>31.602000000000004</v>
      </c>
      <c r="L317" s="51">
        <f t="shared" si="50"/>
        <v>169.00199999999998</v>
      </c>
      <c r="M317" s="52"/>
      <c r="N317" s="53" t="s">
        <v>114</v>
      </c>
      <c r="O317" s="52">
        <v>30.53</v>
      </c>
      <c r="P317" s="54" t="s">
        <v>24</v>
      </c>
      <c r="Q317" s="54"/>
      <c r="R317" s="55"/>
      <c r="S317" s="54">
        <v>34</v>
      </c>
      <c r="T317" s="56">
        <f t="shared" si="47"/>
        <v>102</v>
      </c>
      <c r="U317" s="52">
        <v>3</v>
      </c>
      <c r="V317" s="52">
        <v>39.69</v>
      </c>
      <c r="W317" s="52">
        <f t="shared" si="55"/>
        <v>39.69</v>
      </c>
      <c r="X317" s="52">
        <f t="shared" si="52"/>
        <v>119.07</v>
      </c>
      <c r="Y317" s="52"/>
      <c r="Z317" s="52">
        <v>29</v>
      </c>
      <c r="AA317" s="52">
        <f t="shared" si="53"/>
        <v>87</v>
      </c>
      <c r="AB317" s="52"/>
      <c r="AC317" s="52"/>
      <c r="AE317" s="57" t="s">
        <v>115</v>
      </c>
      <c r="AF317" s="57">
        <v>40.700000000000003</v>
      </c>
      <c r="AH317" s="57">
        <v>30.53</v>
      </c>
      <c r="AI317" s="58">
        <v>0</v>
      </c>
      <c r="AJ317" s="57">
        <v>28.4</v>
      </c>
      <c r="AK317" s="57">
        <f>AJ317*G317</f>
        <v>85.199999999999989</v>
      </c>
      <c r="AP317" s="57">
        <v>0</v>
      </c>
      <c r="AQ317" s="59" t="s">
        <v>1229</v>
      </c>
      <c r="AR317" s="60">
        <v>12.8325</v>
      </c>
      <c r="AS317" s="60">
        <v>25.664999999999999</v>
      </c>
    </row>
    <row r="318" spans="2:45" s="57" customFormat="1" ht="22.5">
      <c r="B318" s="46" t="s">
        <v>1230</v>
      </c>
      <c r="C318" s="64" t="s">
        <v>1231</v>
      </c>
      <c r="D318" s="64" t="s">
        <v>112</v>
      </c>
      <c r="E318" s="64" t="s">
        <v>56</v>
      </c>
      <c r="F318" s="64" t="s">
        <v>1232</v>
      </c>
      <c r="G318" s="47">
        <v>2</v>
      </c>
      <c r="H318" s="65">
        <f t="shared" si="48"/>
        <v>53.93</v>
      </c>
      <c r="I318" s="49">
        <f t="shared" si="54"/>
        <v>107.86</v>
      </c>
      <c r="J318" s="50">
        <v>0.23</v>
      </c>
      <c r="K318" s="51">
        <f t="shared" si="46"/>
        <v>24.8078</v>
      </c>
      <c r="L318" s="51">
        <f t="shared" si="50"/>
        <v>132.6678</v>
      </c>
      <c r="M318" s="52"/>
      <c r="N318" s="53" t="s">
        <v>114</v>
      </c>
      <c r="O318" s="52">
        <v>35.950000000000003</v>
      </c>
      <c r="P318" s="54" t="s">
        <v>24</v>
      </c>
      <c r="Q318" s="54"/>
      <c r="R318" s="55"/>
      <c r="S318" s="54">
        <v>40</v>
      </c>
      <c r="T318" s="56">
        <f t="shared" si="47"/>
        <v>80</v>
      </c>
      <c r="U318" s="52">
        <v>2</v>
      </c>
      <c r="V318" s="52">
        <v>46.74</v>
      </c>
      <c r="W318" s="52">
        <f t="shared" si="55"/>
        <v>46.74</v>
      </c>
      <c r="X318" s="52">
        <f t="shared" si="52"/>
        <v>93.48</v>
      </c>
      <c r="Y318" s="52"/>
      <c r="Z318" s="52">
        <v>38.4</v>
      </c>
      <c r="AA318" s="52">
        <f t="shared" si="53"/>
        <v>76.8</v>
      </c>
      <c r="AB318" s="52"/>
      <c r="AC318" s="52"/>
      <c r="AE318" s="57" t="s">
        <v>115</v>
      </c>
      <c r="AF318" s="57">
        <v>47.3</v>
      </c>
      <c r="AH318" s="57">
        <v>35.950000000000003</v>
      </c>
      <c r="AI318" s="58"/>
      <c r="AK318" s="57">
        <f>AH318*G318</f>
        <v>71.900000000000006</v>
      </c>
      <c r="AP318" s="57">
        <v>2</v>
      </c>
      <c r="AQ318" s="59">
        <v>0</v>
      </c>
      <c r="AR318" s="59">
        <v>0</v>
      </c>
      <c r="AS318" s="60">
        <v>0</v>
      </c>
    </row>
    <row r="319" spans="2:45" s="57" customFormat="1" ht="22.5">
      <c r="B319" s="46" t="s">
        <v>1233</v>
      </c>
      <c r="C319" s="46" t="s">
        <v>1234</v>
      </c>
      <c r="D319" s="46" t="s">
        <v>112</v>
      </c>
      <c r="E319" s="46" t="s">
        <v>56</v>
      </c>
      <c r="F319" s="46" t="s">
        <v>1235</v>
      </c>
      <c r="G319" s="61">
        <v>2</v>
      </c>
      <c r="H319" s="48">
        <f t="shared" si="48"/>
        <v>32.46</v>
      </c>
      <c r="I319" s="49">
        <f t="shared" si="54"/>
        <v>64.92</v>
      </c>
      <c r="J319" s="50">
        <v>0.23</v>
      </c>
      <c r="K319" s="51">
        <f t="shared" si="46"/>
        <v>14.931600000000003</v>
      </c>
      <c r="L319" s="51">
        <f t="shared" si="50"/>
        <v>79.851600000000005</v>
      </c>
      <c r="M319" s="52"/>
      <c r="N319" s="53" t="s">
        <v>114</v>
      </c>
      <c r="O319" s="52">
        <v>21.64</v>
      </c>
      <c r="P319" s="54" t="s">
        <v>24</v>
      </c>
      <c r="Q319" s="54"/>
      <c r="R319" s="55">
        <v>10</v>
      </c>
      <c r="S319" s="54">
        <v>24</v>
      </c>
      <c r="T319" s="56">
        <f t="shared" si="47"/>
        <v>48</v>
      </c>
      <c r="U319" s="52">
        <v>2</v>
      </c>
      <c r="V319" s="52">
        <v>28.13</v>
      </c>
      <c r="W319" s="52">
        <f t="shared" si="55"/>
        <v>28.13</v>
      </c>
      <c r="X319" s="52">
        <f t="shared" si="52"/>
        <v>56.26</v>
      </c>
      <c r="Y319" s="52"/>
      <c r="Z319" s="52">
        <v>22</v>
      </c>
      <c r="AA319" s="52">
        <f t="shared" si="53"/>
        <v>44</v>
      </c>
      <c r="AB319" s="52"/>
      <c r="AC319" s="52"/>
      <c r="AE319" s="57" t="s">
        <v>115</v>
      </c>
      <c r="AF319" s="57">
        <v>28.48</v>
      </c>
      <c r="AH319" s="57">
        <v>21.64</v>
      </c>
      <c r="AI319" s="58">
        <v>0</v>
      </c>
      <c r="AK319" s="57">
        <f>AH319*G319</f>
        <v>43.28</v>
      </c>
      <c r="AP319" s="57">
        <v>0</v>
      </c>
      <c r="AQ319" s="59" t="s">
        <v>1236</v>
      </c>
      <c r="AR319" s="60">
        <v>10</v>
      </c>
      <c r="AS319" s="60">
        <v>500</v>
      </c>
    </row>
    <row r="320" spans="2:45" s="57" customFormat="1">
      <c r="B320" s="46" t="s">
        <v>1237</v>
      </c>
      <c r="C320" s="46" t="s">
        <v>1238</v>
      </c>
      <c r="D320" s="46" t="s">
        <v>47</v>
      </c>
      <c r="E320" s="46" t="s">
        <v>440</v>
      </c>
      <c r="F320" s="46" t="s">
        <v>1239</v>
      </c>
      <c r="G320" s="61">
        <v>3</v>
      </c>
      <c r="H320" s="48">
        <f t="shared" si="48"/>
        <v>51.78</v>
      </c>
      <c r="I320" s="49">
        <f t="shared" si="54"/>
        <v>155.34</v>
      </c>
      <c r="J320" s="50">
        <v>0.23</v>
      </c>
      <c r="K320" s="51">
        <f t="shared" si="46"/>
        <v>35.728199999999987</v>
      </c>
      <c r="L320" s="51">
        <f t="shared" si="50"/>
        <v>191.06819999999999</v>
      </c>
      <c r="M320" s="52"/>
      <c r="N320" s="53" t="s">
        <v>50</v>
      </c>
      <c r="O320" s="52">
        <v>34.520000000000003</v>
      </c>
      <c r="P320" s="54" t="s">
        <v>64</v>
      </c>
      <c r="Q320" s="54">
        <v>9.2799999999999994</v>
      </c>
      <c r="R320" s="55"/>
      <c r="S320" s="54">
        <v>11</v>
      </c>
      <c r="T320" s="56">
        <f t="shared" si="47"/>
        <v>33</v>
      </c>
      <c r="U320" s="52">
        <v>3</v>
      </c>
      <c r="V320" s="52">
        <v>37.409999999999997</v>
      </c>
      <c r="W320" s="52">
        <f t="shared" si="55"/>
        <v>37.409999999999997</v>
      </c>
      <c r="X320" s="52">
        <f t="shared" si="52"/>
        <v>112.22999999999999</v>
      </c>
      <c r="Y320" s="52"/>
      <c r="Z320" s="52">
        <v>30</v>
      </c>
      <c r="AA320" s="52">
        <f t="shared" si="53"/>
        <v>90</v>
      </c>
      <c r="AB320" s="57" t="s">
        <v>128</v>
      </c>
      <c r="AC320" s="52"/>
      <c r="AE320" s="57" t="s">
        <v>52</v>
      </c>
      <c r="AH320" s="57">
        <v>28.78</v>
      </c>
      <c r="AI320" s="58">
        <v>0</v>
      </c>
      <c r="AK320" s="57">
        <f>AH320*G320</f>
        <v>86.34</v>
      </c>
      <c r="AP320" s="57">
        <v>0</v>
      </c>
      <c r="AQ320" s="59" t="s">
        <v>1240</v>
      </c>
      <c r="AR320" s="60">
        <v>25.186500000000002</v>
      </c>
      <c r="AS320" s="60">
        <v>100.74600000000001</v>
      </c>
    </row>
    <row r="321" spans="2:45" s="57" customFormat="1" ht="22.5">
      <c r="B321" s="46" t="s">
        <v>1241</v>
      </c>
      <c r="C321" s="46" t="s">
        <v>1242</v>
      </c>
      <c r="D321" s="46" t="s">
        <v>112</v>
      </c>
      <c r="E321" s="46" t="s">
        <v>440</v>
      </c>
      <c r="F321" s="46" t="s">
        <v>1243</v>
      </c>
      <c r="G321" s="61">
        <v>3</v>
      </c>
      <c r="H321" s="48">
        <f t="shared" si="48"/>
        <v>43.13</v>
      </c>
      <c r="I321" s="49">
        <f t="shared" si="54"/>
        <v>129.39000000000001</v>
      </c>
      <c r="J321" s="50">
        <v>0.23</v>
      </c>
      <c r="K321" s="51">
        <f t="shared" si="46"/>
        <v>29.759700000000009</v>
      </c>
      <c r="L321" s="51">
        <f t="shared" si="50"/>
        <v>159.14970000000002</v>
      </c>
      <c r="M321" s="52"/>
      <c r="N321" s="53" t="s">
        <v>114</v>
      </c>
      <c r="O321" s="52">
        <v>28.75</v>
      </c>
      <c r="P321" s="54" t="s">
        <v>24</v>
      </c>
      <c r="Q321" s="54"/>
      <c r="R321" s="55">
        <v>3</v>
      </c>
      <c r="S321" s="54">
        <v>31</v>
      </c>
      <c r="T321" s="56">
        <f t="shared" si="47"/>
        <v>93</v>
      </c>
      <c r="U321" s="52">
        <v>3</v>
      </c>
      <c r="V321" s="52">
        <v>37.380000000000003</v>
      </c>
      <c r="W321" s="52">
        <f t="shared" si="55"/>
        <v>37.380000000000003</v>
      </c>
      <c r="X321" s="52">
        <f t="shared" si="52"/>
        <v>112.14000000000001</v>
      </c>
      <c r="Y321" s="52"/>
      <c r="Z321" s="52">
        <v>27</v>
      </c>
      <c r="AA321" s="52">
        <f t="shared" si="53"/>
        <v>81</v>
      </c>
      <c r="AB321" s="52"/>
      <c r="AC321" s="52"/>
      <c r="AE321" s="57" t="s">
        <v>115</v>
      </c>
      <c r="AF321" s="57">
        <v>37.83</v>
      </c>
      <c r="AH321" s="57">
        <v>28.75</v>
      </c>
      <c r="AI321" s="58">
        <v>0</v>
      </c>
      <c r="AJ321" s="57">
        <v>27</v>
      </c>
      <c r="AK321" s="57">
        <f>AJ321*G321</f>
        <v>81</v>
      </c>
      <c r="AP321" s="57">
        <v>15</v>
      </c>
      <c r="AQ321" s="59">
        <v>0</v>
      </c>
      <c r="AR321" s="59">
        <v>0</v>
      </c>
      <c r="AS321" s="60">
        <v>0</v>
      </c>
    </row>
    <row r="322" spans="2:45" s="57" customFormat="1">
      <c r="B322" s="46" t="s">
        <v>1244</v>
      </c>
      <c r="C322" s="46" t="s">
        <v>1245</v>
      </c>
      <c r="D322" s="46" t="s">
        <v>112</v>
      </c>
      <c r="E322" s="46" t="s">
        <v>56</v>
      </c>
      <c r="F322" s="46" t="s">
        <v>1246</v>
      </c>
      <c r="G322" s="47">
        <v>4</v>
      </c>
      <c r="H322" s="48">
        <f>ROUND(O322*1.1,2)</f>
        <v>70.25</v>
      </c>
      <c r="I322" s="49">
        <f t="shared" si="54"/>
        <v>281</v>
      </c>
      <c r="J322" s="50">
        <v>0.23</v>
      </c>
      <c r="K322" s="51">
        <f t="shared" si="46"/>
        <v>64.63</v>
      </c>
      <c r="L322" s="51">
        <f t="shared" si="50"/>
        <v>345.63</v>
      </c>
      <c r="M322" s="52" t="s">
        <v>1247</v>
      </c>
      <c r="N322" s="53" t="s">
        <v>50</v>
      </c>
      <c r="O322" s="52">
        <v>63.86</v>
      </c>
      <c r="P322" s="54" t="s">
        <v>64</v>
      </c>
      <c r="Q322" s="54">
        <v>17.53</v>
      </c>
      <c r="R322" s="55">
        <v>3</v>
      </c>
      <c r="S322" s="54">
        <v>19</v>
      </c>
      <c r="T322" s="56">
        <f t="shared" si="47"/>
        <v>76</v>
      </c>
      <c r="U322" s="52">
        <v>10</v>
      </c>
      <c r="V322" s="52">
        <v>35.229999999999997</v>
      </c>
      <c r="W322" s="52">
        <f t="shared" si="55"/>
        <v>35.229999999999997</v>
      </c>
      <c r="X322" s="52">
        <f t="shared" si="52"/>
        <v>140.91999999999999</v>
      </c>
      <c r="Y322" s="52"/>
      <c r="Z322" s="52">
        <v>27.67</v>
      </c>
      <c r="AA322" s="52">
        <f t="shared" si="53"/>
        <v>110.68</v>
      </c>
      <c r="AB322" s="52"/>
      <c r="AC322" s="52"/>
      <c r="AE322" s="57" t="s">
        <v>52</v>
      </c>
      <c r="AH322" s="57">
        <v>27.1</v>
      </c>
      <c r="AI322" s="58">
        <v>2</v>
      </c>
      <c r="AK322" s="57">
        <f>AH322*G322</f>
        <v>108.4</v>
      </c>
      <c r="AP322" s="57">
        <v>2</v>
      </c>
      <c r="AQ322" s="59">
        <v>0</v>
      </c>
      <c r="AR322" s="59">
        <v>0</v>
      </c>
      <c r="AS322" s="60">
        <v>0</v>
      </c>
    </row>
    <row r="323" spans="2:45" s="57" customFormat="1" ht="22.5">
      <c r="B323" s="46" t="s">
        <v>1248</v>
      </c>
      <c r="C323" s="46" t="s">
        <v>1249</v>
      </c>
      <c r="D323" s="46" t="s">
        <v>106</v>
      </c>
      <c r="E323" s="46" t="s">
        <v>107</v>
      </c>
      <c r="F323" s="46" t="s">
        <v>1250</v>
      </c>
      <c r="G323" s="47">
        <v>10</v>
      </c>
      <c r="H323" s="48">
        <f t="shared" si="48"/>
        <v>33.42</v>
      </c>
      <c r="I323" s="49">
        <f t="shared" si="54"/>
        <v>334.20000000000005</v>
      </c>
      <c r="J323" s="50">
        <v>0.23</v>
      </c>
      <c r="K323" s="51">
        <f t="shared" si="46"/>
        <v>76.865999999999985</v>
      </c>
      <c r="L323" s="51">
        <f t="shared" si="50"/>
        <v>411.06600000000003</v>
      </c>
      <c r="M323" s="52"/>
      <c r="N323" s="53" t="s">
        <v>50</v>
      </c>
      <c r="O323" s="52">
        <v>22.28</v>
      </c>
      <c r="P323" s="54" t="s">
        <v>64</v>
      </c>
      <c r="Q323" s="54">
        <v>7.23</v>
      </c>
      <c r="R323" s="55">
        <v>8</v>
      </c>
      <c r="S323" s="54">
        <v>9</v>
      </c>
      <c r="T323" s="56">
        <f t="shared" si="47"/>
        <v>90</v>
      </c>
      <c r="U323" s="52">
        <v>30</v>
      </c>
      <c r="V323" s="52">
        <v>28.85</v>
      </c>
      <c r="W323" s="52">
        <f t="shared" si="55"/>
        <v>28.85</v>
      </c>
      <c r="X323" s="52">
        <f t="shared" si="52"/>
        <v>288.5</v>
      </c>
      <c r="Y323" s="52"/>
      <c r="Z323" s="52">
        <v>15.38</v>
      </c>
      <c r="AA323" s="52">
        <f t="shared" si="53"/>
        <v>153.80000000000001</v>
      </c>
      <c r="AB323" s="52"/>
      <c r="AC323" s="52"/>
      <c r="AE323" s="57" t="s">
        <v>52</v>
      </c>
      <c r="AH323" s="57">
        <v>22.19</v>
      </c>
      <c r="AI323" s="58">
        <v>21</v>
      </c>
      <c r="AK323" s="57">
        <f>AH323*G323</f>
        <v>221.9</v>
      </c>
      <c r="AP323" s="57">
        <v>2</v>
      </c>
      <c r="AQ323" s="59" t="s">
        <v>1251</v>
      </c>
      <c r="AR323" s="60">
        <v>40</v>
      </c>
      <c r="AS323" s="60">
        <v>400</v>
      </c>
    </row>
    <row r="324" spans="2:45" s="57" customFormat="1">
      <c r="B324" s="46" t="s">
        <v>1252</v>
      </c>
      <c r="C324" s="46" t="s">
        <v>1253</v>
      </c>
      <c r="D324" s="46" t="s">
        <v>112</v>
      </c>
      <c r="E324" s="46" t="s">
        <v>56</v>
      </c>
      <c r="F324" s="46" t="s">
        <v>1254</v>
      </c>
      <c r="G324" s="61">
        <v>6</v>
      </c>
      <c r="H324" s="48">
        <f t="shared" si="48"/>
        <v>31.08</v>
      </c>
      <c r="I324" s="49">
        <f t="shared" si="54"/>
        <v>186.48</v>
      </c>
      <c r="J324" s="50">
        <v>0.23</v>
      </c>
      <c r="K324" s="51">
        <f t="shared" si="46"/>
        <v>42.8904</v>
      </c>
      <c r="L324" s="51">
        <f t="shared" si="50"/>
        <v>229.37039999999999</v>
      </c>
      <c r="M324" s="52"/>
      <c r="N324" s="53" t="s">
        <v>50</v>
      </c>
      <c r="O324" s="52">
        <v>20.72</v>
      </c>
      <c r="P324" s="54" t="s">
        <v>64</v>
      </c>
      <c r="Q324" s="54">
        <v>23.32</v>
      </c>
      <c r="R324" s="55">
        <v>6</v>
      </c>
      <c r="S324" s="54">
        <v>23</v>
      </c>
      <c r="T324" s="56">
        <f t="shared" si="47"/>
        <v>138</v>
      </c>
      <c r="U324" s="52">
        <v>6</v>
      </c>
      <c r="V324" s="52">
        <v>14.3</v>
      </c>
      <c r="W324" s="52">
        <f t="shared" si="55"/>
        <v>14.3</v>
      </c>
      <c r="X324" s="52">
        <f t="shared" si="52"/>
        <v>85.800000000000011</v>
      </c>
      <c r="Y324" s="52"/>
      <c r="Z324" s="52">
        <v>13.2</v>
      </c>
      <c r="AA324" s="52">
        <f t="shared" si="53"/>
        <v>79.199999999999989</v>
      </c>
      <c r="AB324" s="52"/>
      <c r="AC324" s="52"/>
      <c r="AE324" s="57" t="s">
        <v>52</v>
      </c>
      <c r="AH324" s="57">
        <v>11</v>
      </c>
      <c r="AI324" s="58">
        <v>4</v>
      </c>
      <c r="AK324" s="57">
        <f>AH324*G324</f>
        <v>66</v>
      </c>
      <c r="AP324" s="57">
        <v>3</v>
      </c>
      <c r="AQ324" s="59" t="s">
        <v>1255</v>
      </c>
      <c r="AR324" s="60">
        <v>34</v>
      </c>
      <c r="AS324" s="60">
        <v>340</v>
      </c>
    </row>
    <row r="325" spans="2:45" s="57" customFormat="1" ht="22.5">
      <c r="B325" s="46" t="s">
        <v>1256</v>
      </c>
      <c r="C325" s="46" t="s">
        <v>1257</v>
      </c>
      <c r="D325" s="46" t="s">
        <v>112</v>
      </c>
      <c r="E325" s="46" t="s">
        <v>56</v>
      </c>
      <c r="F325" s="46" t="s">
        <v>1258</v>
      </c>
      <c r="G325" s="61">
        <v>5</v>
      </c>
      <c r="H325" s="48">
        <f t="shared" si="48"/>
        <v>56.6</v>
      </c>
      <c r="I325" s="49">
        <f t="shared" si="54"/>
        <v>283</v>
      </c>
      <c r="J325" s="50">
        <v>0.23</v>
      </c>
      <c r="K325" s="51">
        <f t="shared" si="46"/>
        <v>65.090000000000032</v>
      </c>
      <c r="L325" s="51">
        <f t="shared" si="50"/>
        <v>348.09000000000003</v>
      </c>
      <c r="M325" s="52"/>
      <c r="N325" s="53" t="s">
        <v>114</v>
      </c>
      <c r="O325" s="52">
        <v>37.729999999999997</v>
      </c>
      <c r="P325" s="54" t="s">
        <v>24</v>
      </c>
      <c r="Q325" s="54"/>
      <c r="R325" s="55">
        <v>14</v>
      </c>
      <c r="S325" s="54">
        <v>40</v>
      </c>
      <c r="T325" s="56">
        <f t="shared" si="47"/>
        <v>200</v>
      </c>
      <c r="U325" s="52">
        <v>5</v>
      </c>
      <c r="V325" s="52">
        <v>49.05</v>
      </c>
      <c r="W325" s="52">
        <f t="shared" si="55"/>
        <v>49.05</v>
      </c>
      <c r="X325" s="52">
        <f t="shared" si="52"/>
        <v>245.25</v>
      </c>
      <c r="Y325" s="52"/>
      <c r="Z325" s="52">
        <v>34</v>
      </c>
      <c r="AA325" s="52">
        <f t="shared" si="53"/>
        <v>170</v>
      </c>
      <c r="AB325" s="52"/>
      <c r="AC325" s="52"/>
      <c r="AE325" s="57" t="s">
        <v>115</v>
      </c>
      <c r="AF325" s="57">
        <v>49.65</v>
      </c>
      <c r="AH325" s="57">
        <v>37.729999999999997</v>
      </c>
      <c r="AI325" s="58">
        <v>4</v>
      </c>
      <c r="AJ325" s="57">
        <v>34</v>
      </c>
      <c r="AK325" s="57">
        <f>AJ325*G325</f>
        <v>170</v>
      </c>
      <c r="AP325" s="57">
        <v>0</v>
      </c>
      <c r="AQ325" s="59">
        <v>0</v>
      </c>
      <c r="AR325" s="59">
        <v>0</v>
      </c>
      <c r="AS325" s="60">
        <v>0</v>
      </c>
    </row>
    <row r="326" spans="2:45" s="57" customFormat="1" ht="22.5">
      <c r="B326" s="46" t="s">
        <v>1259</v>
      </c>
      <c r="C326" s="46" t="s">
        <v>1260</v>
      </c>
      <c r="D326" s="46" t="s">
        <v>112</v>
      </c>
      <c r="E326" s="46" t="s">
        <v>56</v>
      </c>
      <c r="F326" s="46" t="s">
        <v>1261</v>
      </c>
      <c r="G326" s="61">
        <v>5</v>
      </c>
      <c r="H326" s="48">
        <f t="shared" si="48"/>
        <v>31.31</v>
      </c>
      <c r="I326" s="49">
        <f t="shared" si="54"/>
        <v>156.54999999999998</v>
      </c>
      <c r="J326" s="50">
        <v>0.23</v>
      </c>
      <c r="K326" s="51">
        <f t="shared" si="46"/>
        <v>36.006499999999988</v>
      </c>
      <c r="L326" s="51">
        <f t="shared" si="50"/>
        <v>192.55649999999997</v>
      </c>
      <c r="M326" s="52"/>
      <c r="N326" s="53" t="s">
        <v>114</v>
      </c>
      <c r="O326" s="52">
        <v>20.87</v>
      </c>
      <c r="P326" s="54" t="s">
        <v>24</v>
      </c>
      <c r="Q326" s="54"/>
      <c r="R326" s="55"/>
      <c r="S326" s="54">
        <v>23</v>
      </c>
      <c r="T326" s="56">
        <f t="shared" si="47"/>
        <v>115</v>
      </c>
      <c r="U326" s="52">
        <v>5</v>
      </c>
      <c r="V326" s="52">
        <v>27.13</v>
      </c>
      <c r="W326" s="52">
        <f t="shared" si="55"/>
        <v>27.13</v>
      </c>
      <c r="X326" s="52">
        <f t="shared" si="52"/>
        <v>135.65</v>
      </c>
      <c r="Y326" s="52"/>
      <c r="Z326" s="52">
        <v>19</v>
      </c>
      <c r="AA326" s="52">
        <f t="shared" si="53"/>
        <v>95</v>
      </c>
      <c r="AB326" s="52"/>
      <c r="AC326" s="52"/>
      <c r="AE326" s="57" t="s">
        <v>115</v>
      </c>
      <c r="AF326" s="57">
        <v>27.47</v>
      </c>
      <c r="AH326" s="57">
        <v>20.87</v>
      </c>
      <c r="AI326" s="58">
        <v>0</v>
      </c>
      <c r="AJ326" s="57">
        <v>18.100000000000001</v>
      </c>
      <c r="AK326" s="57">
        <f>AJ326*G326</f>
        <v>90.5</v>
      </c>
      <c r="AP326" s="57">
        <v>2</v>
      </c>
      <c r="AQ326" s="59">
        <v>0</v>
      </c>
      <c r="AR326" s="59">
        <v>0</v>
      </c>
      <c r="AS326" s="60">
        <v>0</v>
      </c>
    </row>
    <row r="327" spans="2:45" s="57" customFormat="1" ht="22.5">
      <c r="B327" s="46" t="s">
        <v>1262</v>
      </c>
      <c r="C327" s="46" t="s">
        <v>1263</v>
      </c>
      <c r="D327" s="46" t="s">
        <v>106</v>
      </c>
      <c r="E327" s="46" t="s">
        <v>107</v>
      </c>
      <c r="F327" s="46" t="s">
        <v>1264</v>
      </c>
      <c r="G327" s="61">
        <v>5</v>
      </c>
      <c r="H327" s="48">
        <f t="shared" si="48"/>
        <v>36.03</v>
      </c>
      <c r="I327" s="49">
        <f t="shared" si="54"/>
        <v>180.15</v>
      </c>
      <c r="J327" s="50">
        <v>0.23</v>
      </c>
      <c r="K327" s="51">
        <f t="shared" si="46"/>
        <v>41.434499999999986</v>
      </c>
      <c r="L327" s="51">
        <f t="shared" si="50"/>
        <v>221.58449999999999</v>
      </c>
      <c r="M327" s="52" t="s">
        <v>1055</v>
      </c>
      <c r="N327" s="53" t="s">
        <v>50</v>
      </c>
      <c r="O327" s="52">
        <v>24.02</v>
      </c>
      <c r="P327" s="54" t="s">
        <v>64</v>
      </c>
      <c r="Q327" s="54">
        <v>10.53</v>
      </c>
      <c r="R327" s="55">
        <v>10</v>
      </c>
      <c r="S327" s="54">
        <v>12</v>
      </c>
      <c r="T327" s="56">
        <f t="shared" si="47"/>
        <v>60</v>
      </c>
      <c r="U327" s="52">
        <v>5</v>
      </c>
      <c r="V327" s="52">
        <v>31.17</v>
      </c>
      <c r="W327" s="52">
        <f t="shared" si="55"/>
        <v>31.17</v>
      </c>
      <c r="X327" s="52">
        <f t="shared" si="52"/>
        <v>155.85000000000002</v>
      </c>
      <c r="Y327" s="52"/>
      <c r="Z327" s="52">
        <v>16.93</v>
      </c>
      <c r="AA327" s="52">
        <f t="shared" si="53"/>
        <v>84.65</v>
      </c>
      <c r="AB327" s="52"/>
      <c r="AC327" s="52"/>
      <c r="AE327" s="57" t="s">
        <v>52</v>
      </c>
      <c r="AH327" s="57">
        <v>23.98</v>
      </c>
      <c r="AI327" s="58">
        <v>0</v>
      </c>
      <c r="AK327" s="57">
        <f t="shared" ref="AK327:AK361" si="58">AH327*G327</f>
        <v>119.9</v>
      </c>
      <c r="AP327" s="57">
        <v>0</v>
      </c>
      <c r="AQ327" s="59" t="s">
        <v>1265</v>
      </c>
      <c r="AR327" s="60">
        <v>12</v>
      </c>
      <c r="AS327" s="60">
        <v>120</v>
      </c>
    </row>
    <row r="328" spans="2:45" s="57" customFormat="1">
      <c r="B328" s="46" t="s">
        <v>1266</v>
      </c>
      <c r="C328" s="46" t="s">
        <v>1267</v>
      </c>
      <c r="D328" s="46" t="s">
        <v>112</v>
      </c>
      <c r="E328" s="46" t="s">
        <v>56</v>
      </c>
      <c r="F328" s="46" t="s">
        <v>1268</v>
      </c>
      <c r="G328" s="76">
        <v>350</v>
      </c>
      <c r="H328" s="48">
        <f>ROUND(O328*1.2,2)</f>
        <v>16</v>
      </c>
      <c r="I328" s="49">
        <f t="shared" si="54"/>
        <v>5600</v>
      </c>
      <c r="J328" s="50">
        <v>0.23</v>
      </c>
      <c r="K328" s="51">
        <f t="shared" si="46"/>
        <v>1288</v>
      </c>
      <c r="L328" s="51">
        <f t="shared" si="50"/>
        <v>6888</v>
      </c>
      <c r="M328" s="52" t="s">
        <v>1269</v>
      </c>
      <c r="N328" s="53" t="s">
        <v>50</v>
      </c>
      <c r="O328" s="52">
        <v>13.33</v>
      </c>
      <c r="P328" s="54" t="s">
        <v>64</v>
      </c>
      <c r="Q328" s="54">
        <v>7.66</v>
      </c>
      <c r="R328" s="55">
        <v>247</v>
      </c>
      <c r="S328" s="54">
        <v>8</v>
      </c>
      <c r="T328" s="56">
        <f t="shared" si="47"/>
        <v>2800</v>
      </c>
      <c r="U328" s="52">
        <v>350</v>
      </c>
      <c r="V328" s="52">
        <v>14.3</v>
      </c>
      <c r="W328" s="52">
        <f t="shared" si="55"/>
        <v>14.3</v>
      </c>
      <c r="X328" s="52">
        <f t="shared" si="52"/>
        <v>5005</v>
      </c>
      <c r="Y328" s="52"/>
      <c r="Z328" s="52">
        <v>11.6</v>
      </c>
      <c r="AA328" s="52">
        <f t="shared" si="53"/>
        <v>4060</v>
      </c>
      <c r="AB328" s="52"/>
      <c r="AC328" s="52"/>
      <c r="AE328" s="57" t="s">
        <v>52</v>
      </c>
      <c r="AH328" s="57">
        <v>11</v>
      </c>
      <c r="AI328" s="58">
        <v>266</v>
      </c>
      <c r="AK328" s="57">
        <f t="shared" si="58"/>
        <v>3850</v>
      </c>
      <c r="AQ328" s="59" t="s">
        <v>1270</v>
      </c>
      <c r="AR328" s="60">
        <v>19.5</v>
      </c>
      <c r="AS328" s="60">
        <v>487.5</v>
      </c>
    </row>
    <row r="329" spans="2:45" s="57" customFormat="1">
      <c r="B329" s="46" t="s">
        <v>1271</v>
      </c>
      <c r="C329" s="46" t="s">
        <v>1272</v>
      </c>
      <c r="D329" s="46" t="s">
        <v>1273</v>
      </c>
      <c r="E329" s="46" t="s">
        <v>1274</v>
      </c>
      <c r="F329" s="46" t="s">
        <v>1275</v>
      </c>
      <c r="G329" s="61">
        <v>1</v>
      </c>
      <c r="H329" s="48">
        <f t="shared" si="48"/>
        <v>120</v>
      </c>
      <c r="I329" s="49">
        <f t="shared" si="54"/>
        <v>120</v>
      </c>
      <c r="J329" s="50">
        <v>0.23</v>
      </c>
      <c r="K329" s="51">
        <f t="shared" si="46"/>
        <v>27.599999999999994</v>
      </c>
      <c r="L329" s="51">
        <f t="shared" si="50"/>
        <v>147.6</v>
      </c>
      <c r="M329" s="52" t="s">
        <v>1276</v>
      </c>
      <c r="N329" s="92"/>
      <c r="O329" s="52">
        <v>80</v>
      </c>
      <c r="P329" s="54"/>
      <c r="Q329" s="54"/>
      <c r="R329" s="55">
        <v>7</v>
      </c>
      <c r="S329" s="54">
        <v>60</v>
      </c>
      <c r="T329" s="56">
        <f>S329*G329</f>
        <v>60</v>
      </c>
      <c r="U329" s="52">
        <v>1</v>
      </c>
      <c r="V329" s="52">
        <v>97.5</v>
      </c>
      <c r="W329" s="52">
        <f t="shared" si="55"/>
        <v>97.5</v>
      </c>
      <c r="X329" s="52">
        <f t="shared" si="52"/>
        <v>97.5</v>
      </c>
      <c r="Y329" s="52"/>
      <c r="Z329" s="52">
        <v>73.5</v>
      </c>
      <c r="AA329" s="52">
        <f t="shared" si="53"/>
        <v>73.5</v>
      </c>
      <c r="AB329" s="52"/>
      <c r="AC329" s="52"/>
      <c r="AE329" s="57" t="s">
        <v>1277</v>
      </c>
      <c r="AF329" s="57" t="s">
        <v>1278</v>
      </c>
      <c r="AH329" s="57">
        <f>3*25</f>
        <v>75</v>
      </c>
      <c r="AI329" s="58">
        <v>0</v>
      </c>
      <c r="AK329" s="57">
        <f t="shared" si="58"/>
        <v>75</v>
      </c>
      <c r="AP329" s="57">
        <v>0</v>
      </c>
      <c r="AQ329" s="59">
        <v>0</v>
      </c>
      <c r="AR329" s="59">
        <v>0</v>
      </c>
      <c r="AS329" s="60">
        <v>0</v>
      </c>
    </row>
    <row r="330" spans="2:45" s="57" customFormat="1" ht="22.5">
      <c r="B330" s="46" t="s">
        <v>1279</v>
      </c>
      <c r="C330" s="46" t="s">
        <v>1280</v>
      </c>
      <c r="D330" s="46" t="s">
        <v>1281</v>
      </c>
      <c r="E330" s="46" t="s">
        <v>440</v>
      </c>
      <c r="F330" s="46" t="s">
        <v>1282</v>
      </c>
      <c r="G330" s="61">
        <v>10</v>
      </c>
      <c r="H330" s="48">
        <f t="shared" si="48"/>
        <v>47.18</v>
      </c>
      <c r="I330" s="49">
        <f t="shared" si="54"/>
        <v>471.8</v>
      </c>
      <c r="J330" s="50">
        <v>0.23</v>
      </c>
      <c r="K330" s="51">
        <f t="shared" si="46"/>
        <v>108.51400000000007</v>
      </c>
      <c r="L330" s="51">
        <f t="shared" si="50"/>
        <v>580.31400000000008</v>
      </c>
      <c r="M330" s="52"/>
      <c r="N330" s="92" t="s">
        <v>114</v>
      </c>
      <c r="O330" s="52">
        <f>6.29*5</f>
        <v>31.45</v>
      </c>
      <c r="P330" s="54"/>
      <c r="Q330" s="54"/>
      <c r="R330" s="55"/>
      <c r="S330" s="54">
        <v>30</v>
      </c>
      <c r="T330" s="56">
        <f>S330*G330</f>
        <v>300</v>
      </c>
      <c r="U330" s="52"/>
      <c r="V330" s="52"/>
      <c r="W330" s="52"/>
      <c r="X330" s="52"/>
      <c r="Y330" s="52"/>
      <c r="Z330" s="52"/>
      <c r="AA330" s="52"/>
      <c r="AB330" s="52"/>
      <c r="AC330" s="52"/>
      <c r="AI330" s="58"/>
      <c r="AQ330" s="59"/>
      <c r="AR330" s="59"/>
      <c r="AS330" s="60"/>
    </row>
    <row r="331" spans="2:45" s="57" customFormat="1" ht="22.5">
      <c r="B331" s="46" t="s">
        <v>1283</v>
      </c>
      <c r="C331" s="46" t="s">
        <v>1284</v>
      </c>
      <c r="D331" s="46" t="s">
        <v>106</v>
      </c>
      <c r="E331" s="46" t="s">
        <v>107</v>
      </c>
      <c r="F331" s="46" t="s">
        <v>1285</v>
      </c>
      <c r="G331" s="61">
        <v>10</v>
      </c>
      <c r="H331" s="48">
        <f>ROUND(O331*1.3,2)</f>
        <v>29.71</v>
      </c>
      <c r="I331" s="49">
        <f t="shared" si="54"/>
        <v>297.10000000000002</v>
      </c>
      <c r="J331" s="50">
        <v>0.23</v>
      </c>
      <c r="K331" s="51">
        <f t="shared" si="46"/>
        <v>68.333000000000027</v>
      </c>
      <c r="L331" s="51">
        <f t="shared" si="50"/>
        <v>365.43300000000005</v>
      </c>
      <c r="M331" s="52"/>
      <c r="N331" s="53" t="s">
        <v>50</v>
      </c>
      <c r="O331" s="52">
        <v>22.85</v>
      </c>
      <c r="P331" s="54" t="s">
        <v>64</v>
      </c>
      <c r="Q331" s="54">
        <v>6.04</v>
      </c>
      <c r="R331" s="55">
        <v>34</v>
      </c>
      <c r="S331" s="54">
        <v>7</v>
      </c>
      <c r="T331" s="56">
        <f t="shared" si="47"/>
        <v>70</v>
      </c>
      <c r="U331" s="52">
        <v>10</v>
      </c>
      <c r="V331" s="52">
        <v>29.59</v>
      </c>
      <c r="W331" s="52">
        <f t="shared" si="55"/>
        <v>29.59</v>
      </c>
      <c r="X331" s="52">
        <f t="shared" si="52"/>
        <v>295.89999999999998</v>
      </c>
      <c r="Y331" s="52"/>
      <c r="Z331" s="52">
        <v>16.07</v>
      </c>
      <c r="AA331" s="52">
        <f t="shared" si="53"/>
        <v>160.69999999999999</v>
      </c>
      <c r="AB331" s="52"/>
      <c r="AC331" s="52"/>
      <c r="AE331" s="57" t="s">
        <v>52</v>
      </c>
      <c r="AH331" s="57">
        <v>22.76</v>
      </c>
      <c r="AI331" s="58">
        <v>4</v>
      </c>
      <c r="AK331" s="57">
        <f t="shared" si="58"/>
        <v>227.60000000000002</v>
      </c>
      <c r="AP331" s="57">
        <v>0</v>
      </c>
      <c r="AQ331" s="59">
        <v>0</v>
      </c>
      <c r="AR331" s="59">
        <v>0</v>
      </c>
      <c r="AS331" s="60">
        <v>0</v>
      </c>
    </row>
    <row r="332" spans="2:45" s="57" customFormat="1" ht="22.5">
      <c r="B332" s="46" t="s">
        <v>1286</v>
      </c>
      <c r="C332" s="46" t="s">
        <v>1287</v>
      </c>
      <c r="D332" s="46" t="s">
        <v>106</v>
      </c>
      <c r="E332" s="46" t="s">
        <v>107</v>
      </c>
      <c r="F332" s="46" t="s">
        <v>1288</v>
      </c>
      <c r="G332" s="61">
        <v>10</v>
      </c>
      <c r="H332" s="48">
        <f t="shared" si="48"/>
        <v>47.4</v>
      </c>
      <c r="I332" s="49">
        <f t="shared" si="54"/>
        <v>474</v>
      </c>
      <c r="J332" s="50">
        <v>0.23</v>
      </c>
      <c r="K332" s="51">
        <f t="shared" si="46"/>
        <v>109.01999999999998</v>
      </c>
      <c r="L332" s="51">
        <f t="shared" si="50"/>
        <v>583.02</v>
      </c>
      <c r="M332" s="52" t="s">
        <v>1055</v>
      </c>
      <c r="N332" s="53" t="s">
        <v>50</v>
      </c>
      <c r="O332" s="52">
        <v>31.6</v>
      </c>
      <c r="P332" s="54" t="s">
        <v>64</v>
      </c>
      <c r="Q332" s="54">
        <v>9.76</v>
      </c>
      <c r="R332" s="55">
        <v>17</v>
      </c>
      <c r="S332" s="54">
        <v>11</v>
      </c>
      <c r="T332" s="56">
        <f t="shared" si="47"/>
        <v>110</v>
      </c>
      <c r="U332" s="52">
        <v>10</v>
      </c>
      <c r="V332" s="52">
        <v>41.48</v>
      </c>
      <c r="W332" s="52">
        <f t="shared" si="55"/>
        <v>41.48</v>
      </c>
      <c r="X332" s="52">
        <f t="shared" si="52"/>
        <v>414.79999999999995</v>
      </c>
      <c r="Y332" s="52"/>
      <c r="Z332" s="52">
        <v>22.74</v>
      </c>
      <c r="AA332" s="52">
        <f t="shared" si="53"/>
        <v>227.39999999999998</v>
      </c>
      <c r="AB332" s="52"/>
      <c r="AC332" s="52"/>
      <c r="AE332" s="57" t="s">
        <v>52</v>
      </c>
      <c r="AH332" s="57">
        <v>31.91</v>
      </c>
      <c r="AI332" s="58">
        <v>2</v>
      </c>
      <c r="AK332" s="57">
        <f t="shared" si="58"/>
        <v>319.10000000000002</v>
      </c>
      <c r="AP332" s="57">
        <v>0</v>
      </c>
      <c r="AQ332" s="59">
        <v>0</v>
      </c>
      <c r="AR332" s="59">
        <v>0</v>
      </c>
      <c r="AS332" s="60">
        <v>0</v>
      </c>
    </row>
    <row r="333" spans="2:45" s="57" customFormat="1" ht="22.5">
      <c r="B333" s="46" t="s">
        <v>1289</v>
      </c>
      <c r="C333" s="46" t="s">
        <v>1290</v>
      </c>
      <c r="D333" s="46" t="s">
        <v>599</v>
      </c>
      <c r="E333" s="46" t="s">
        <v>107</v>
      </c>
      <c r="F333" s="46" t="s">
        <v>1291</v>
      </c>
      <c r="G333" s="61">
        <v>2</v>
      </c>
      <c r="H333" s="48">
        <f>ROUND(O333*1.3,2)</f>
        <v>89.4</v>
      </c>
      <c r="I333" s="49">
        <f t="shared" si="54"/>
        <v>178.8</v>
      </c>
      <c r="J333" s="50">
        <v>0.23</v>
      </c>
      <c r="K333" s="51">
        <f t="shared" si="46"/>
        <v>41.123999999999995</v>
      </c>
      <c r="L333" s="51">
        <f t="shared" si="50"/>
        <v>219.92400000000001</v>
      </c>
      <c r="M333" s="52"/>
      <c r="N333" s="53" t="s">
        <v>50</v>
      </c>
      <c r="O333" s="52">
        <v>68.77</v>
      </c>
      <c r="P333" s="54" t="s">
        <v>64</v>
      </c>
      <c r="Q333" s="54">
        <f>11.79*5</f>
        <v>58.949999999999996</v>
      </c>
      <c r="R333" s="55"/>
      <c r="S333" s="54">
        <v>63</v>
      </c>
      <c r="T333" s="56">
        <f t="shared" si="47"/>
        <v>126</v>
      </c>
      <c r="U333" s="52">
        <v>2</v>
      </c>
      <c r="V333" s="52">
        <v>93.6</v>
      </c>
      <c r="W333" s="52">
        <f t="shared" si="55"/>
        <v>93.6</v>
      </c>
      <c r="X333" s="52">
        <f t="shared" si="52"/>
        <v>187.2</v>
      </c>
      <c r="Y333" s="52"/>
      <c r="Z333" s="52">
        <v>120</v>
      </c>
      <c r="AA333" s="52">
        <f t="shared" si="53"/>
        <v>240</v>
      </c>
      <c r="AB333" s="52"/>
      <c r="AC333" s="52"/>
      <c r="AE333" s="57" t="s">
        <v>52</v>
      </c>
      <c r="AH333" s="57">
        <v>72</v>
      </c>
      <c r="AI333" s="58">
        <v>0</v>
      </c>
      <c r="AK333" s="57">
        <f t="shared" si="58"/>
        <v>144</v>
      </c>
      <c r="AP333" s="57">
        <v>2</v>
      </c>
      <c r="AQ333" s="59">
        <v>0</v>
      </c>
      <c r="AR333" s="59">
        <v>0</v>
      </c>
      <c r="AS333" s="60">
        <v>0</v>
      </c>
    </row>
    <row r="334" spans="2:45" s="57" customFormat="1" ht="22.5">
      <c r="B334" s="46" t="s">
        <v>1292</v>
      </c>
      <c r="C334" s="64" t="s">
        <v>1293</v>
      </c>
      <c r="D334" s="72" t="s">
        <v>191</v>
      </c>
      <c r="E334" s="64" t="s">
        <v>88</v>
      </c>
      <c r="F334" s="64" t="s">
        <v>1294</v>
      </c>
      <c r="G334" s="73">
        <v>2</v>
      </c>
      <c r="H334" s="48">
        <f t="shared" si="48"/>
        <v>8.75</v>
      </c>
      <c r="I334" s="49">
        <f t="shared" si="54"/>
        <v>17.5</v>
      </c>
      <c r="J334" s="50">
        <v>0.23</v>
      </c>
      <c r="K334" s="51">
        <f t="shared" si="46"/>
        <v>4.0249999999999986</v>
      </c>
      <c r="L334" s="51">
        <f t="shared" si="50"/>
        <v>21.524999999999999</v>
      </c>
      <c r="M334" s="52"/>
      <c r="N334" s="53" t="s">
        <v>114</v>
      </c>
      <c r="O334" s="52">
        <v>5.83</v>
      </c>
      <c r="P334" s="54" t="s">
        <v>24</v>
      </c>
      <c r="Q334" s="54"/>
      <c r="R334" s="55"/>
      <c r="S334" s="54">
        <v>6.5</v>
      </c>
      <c r="T334" s="56">
        <f t="shared" si="47"/>
        <v>13</v>
      </c>
      <c r="U334" s="52">
        <v>2</v>
      </c>
      <c r="V334" s="52">
        <v>7.58</v>
      </c>
      <c r="W334" s="52">
        <f t="shared" si="55"/>
        <v>7.58</v>
      </c>
      <c r="X334" s="52">
        <f t="shared" si="52"/>
        <v>15.16</v>
      </c>
      <c r="Y334" s="52"/>
      <c r="Z334" s="52">
        <v>6.12</v>
      </c>
      <c r="AA334" s="52">
        <f t="shared" si="53"/>
        <v>12.24</v>
      </c>
      <c r="AB334" s="52"/>
      <c r="AC334" s="52"/>
      <c r="AE334" s="57" t="s">
        <v>115</v>
      </c>
      <c r="AF334" s="57">
        <v>7.68</v>
      </c>
      <c r="AH334" s="57">
        <v>5.83</v>
      </c>
      <c r="AI334" s="58">
        <v>0</v>
      </c>
      <c r="AK334" s="57">
        <f t="shared" si="58"/>
        <v>11.66</v>
      </c>
      <c r="AP334" s="57">
        <v>21</v>
      </c>
      <c r="AQ334" s="59">
        <v>0</v>
      </c>
      <c r="AR334" s="59">
        <v>0</v>
      </c>
      <c r="AS334" s="60">
        <v>0</v>
      </c>
    </row>
    <row r="335" spans="2:45" s="57" customFormat="1">
      <c r="B335" s="46" t="s">
        <v>1295</v>
      </c>
      <c r="C335" s="64" t="s">
        <v>1296</v>
      </c>
      <c r="D335" s="64" t="s">
        <v>132</v>
      </c>
      <c r="E335" s="64" t="s">
        <v>56</v>
      </c>
      <c r="F335" s="64" t="s">
        <v>1297</v>
      </c>
      <c r="G335" s="47">
        <v>1</v>
      </c>
      <c r="H335" s="48">
        <f>ROUND(O335*1.2,2)</f>
        <v>551.1</v>
      </c>
      <c r="I335" s="49">
        <f t="shared" si="54"/>
        <v>551.1</v>
      </c>
      <c r="J335" s="50">
        <v>0.23</v>
      </c>
      <c r="K335" s="51">
        <f t="shared" si="46"/>
        <v>126.75300000000004</v>
      </c>
      <c r="L335" s="51">
        <f t="shared" si="50"/>
        <v>677.85300000000007</v>
      </c>
      <c r="M335" s="52"/>
      <c r="N335" s="53" t="s">
        <v>50</v>
      </c>
      <c r="O335" s="52">
        <v>459.25</v>
      </c>
      <c r="P335" s="54"/>
      <c r="Q335" s="54"/>
      <c r="R335" s="55"/>
      <c r="S335" s="54">
        <v>500</v>
      </c>
      <c r="T335" s="56">
        <f t="shared" si="47"/>
        <v>500</v>
      </c>
      <c r="U335" s="52">
        <v>1</v>
      </c>
      <c r="V335" s="52">
        <v>421.27</v>
      </c>
      <c r="W335" s="52">
        <f>ROUND(AH335*1.1,2)</f>
        <v>421.27</v>
      </c>
      <c r="X335" s="52">
        <f t="shared" si="52"/>
        <v>421.27</v>
      </c>
      <c r="Y335" s="52">
        <v>0.1</v>
      </c>
      <c r="Z335" s="52">
        <v>561.73</v>
      </c>
      <c r="AA335" s="52">
        <f t="shared" si="53"/>
        <v>561.73</v>
      </c>
      <c r="AB335" s="52"/>
      <c r="AC335" s="52"/>
      <c r="AE335" s="57" t="s">
        <v>52</v>
      </c>
      <c r="AH335" s="57">
        <v>382.97</v>
      </c>
      <c r="AI335" s="58">
        <v>0</v>
      </c>
      <c r="AK335" s="57">
        <f t="shared" si="58"/>
        <v>382.97</v>
      </c>
      <c r="AP335" s="57">
        <v>4</v>
      </c>
      <c r="AQ335" s="59">
        <v>0</v>
      </c>
      <c r="AR335" s="59">
        <v>0</v>
      </c>
      <c r="AS335" s="60">
        <v>0</v>
      </c>
    </row>
    <row r="336" spans="2:45" s="57" customFormat="1" ht="33.75">
      <c r="B336" s="46" t="s">
        <v>1298</v>
      </c>
      <c r="C336" s="46" t="s">
        <v>1299</v>
      </c>
      <c r="D336" s="66" t="s">
        <v>793</v>
      </c>
      <c r="E336" s="46" t="s">
        <v>107</v>
      </c>
      <c r="F336" s="46" t="s">
        <v>1300</v>
      </c>
      <c r="G336" s="73">
        <v>1</v>
      </c>
      <c r="H336" s="65">
        <f>ROUND(O336*1.2,2)</f>
        <v>358.24</v>
      </c>
      <c r="I336" s="49">
        <f t="shared" si="54"/>
        <v>358.24</v>
      </c>
      <c r="J336" s="50">
        <v>0.23</v>
      </c>
      <c r="K336" s="51">
        <f t="shared" ref="K336:K399" si="59">L336-I336</f>
        <v>82.395199999999988</v>
      </c>
      <c r="L336" s="51">
        <f t="shared" si="50"/>
        <v>440.6352</v>
      </c>
      <c r="M336" s="52" t="s">
        <v>294</v>
      </c>
      <c r="N336" s="53" t="s">
        <v>91</v>
      </c>
      <c r="O336" s="52">
        <v>298.52999999999997</v>
      </c>
      <c r="P336" s="54" t="s">
        <v>92</v>
      </c>
      <c r="Q336" s="54"/>
      <c r="R336" s="55">
        <v>2</v>
      </c>
      <c r="S336" s="54">
        <v>300</v>
      </c>
      <c r="T336" s="56">
        <f t="shared" ref="T336:T399" si="60">S336*G336</f>
        <v>300</v>
      </c>
      <c r="U336" s="52">
        <v>1</v>
      </c>
      <c r="V336" s="52">
        <v>372.8</v>
      </c>
      <c r="W336" s="52">
        <f>ROUND(AH336*1.2,2)</f>
        <v>372.8</v>
      </c>
      <c r="X336" s="52">
        <f t="shared" si="52"/>
        <v>372.8</v>
      </c>
      <c r="Y336" s="52">
        <v>0.2</v>
      </c>
      <c r="Z336" s="52">
        <v>360.19</v>
      </c>
      <c r="AA336" s="52">
        <f t="shared" si="53"/>
        <v>360.19</v>
      </c>
      <c r="AB336" s="52"/>
      <c r="AC336" s="52"/>
      <c r="AE336" s="57" t="s">
        <v>93</v>
      </c>
      <c r="AF336" s="57">
        <v>365.49</v>
      </c>
      <c r="AG336" s="62">
        <v>0.15</v>
      </c>
      <c r="AH336" s="57">
        <v>310.67</v>
      </c>
      <c r="AI336" s="58">
        <v>0</v>
      </c>
      <c r="AK336" s="57">
        <f t="shared" si="58"/>
        <v>310.67</v>
      </c>
      <c r="AP336" s="57">
        <v>4</v>
      </c>
      <c r="AQ336" s="59">
        <v>0</v>
      </c>
      <c r="AR336" s="59">
        <v>0</v>
      </c>
      <c r="AS336" s="60">
        <v>0</v>
      </c>
    </row>
    <row r="337" spans="2:45" s="57" customFormat="1">
      <c r="B337" s="46" t="s">
        <v>1301</v>
      </c>
      <c r="C337" s="46" t="s">
        <v>1302</v>
      </c>
      <c r="D337" s="46" t="s">
        <v>1273</v>
      </c>
      <c r="E337" s="46" t="s">
        <v>107</v>
      </c>
      <c r="F337" s="46" t="s">
        <v>114</v>
      </c>
      <c r="G337" s="47">
        <v>50</v>
      </c>
      <c r="H337" s="65">
        <f>ROUND(O337*1.1,2)</f>
        <v>29.15</v>
      </c>
      <c r="I337" s="49">
        <f t="shared" si="54"/>
        <v>1457.5</v>
      </c>
      <c r="J337" s="50">
        <v>0.23</v>
      </c>
      <c r="K337" s="51">
        <f t="shared" si="59"/>
        <v>335.22499999999991</v>
      </c>
      <c r="L337" s="51">
        <f t="shared" si="50"/>
        <v>1792.7249999999999</v>
      </c>
      <c r="M337" s="52"/>
      <c r="N337" s="53" t="s">
        <v>114</v>
      </c>
      <c r="O337" s="52">
        <f>1.06*25</f>
        <v>26.5</v>
      </c>
      <c r="P337" s="54" t="s">
        <v>24</v>
      </c>
      <c r="Q337" s="54"/>
      <c r="R337" s="55">
        <v>40</v>
      </c>
      <c r="S337" s="54">
        <v>30</v>
      </c>
      <c r="T337" s="56">
        <f t="shared" si="60"/>
        <v>1500</v>
      </c>
      <c r="U337" s="52">
        <v>100</v>
      </c>
      <c r="V337" s="52">
        <v>17.55</v>
      </c>
      <c r="W337" s="52">
        <f t="shared" si="55"/>
        <v>17.55</v>
      </c>
      <c r="X337" s="52">
        <f t="shared" si="52"/>
        <v>877.5</v>
      </c>
      <c r="Y337" s="52"/>
      <c r="Z337" s="52">
        <v>30</v>
      </c>
      <c r="AA337" s="52">
        <f t="shared" si="53"/>
        <v>1500</v>
      </c>
      <c r="AB337" s="52"/>
      <c r="AC337" s="52"/>
      <c r="AD337" s="57" t="s">
        <v>1303</v>
      </c>
      <c r="AE337" s="57" t="s">
        <v>115</v>
      </c>
      <c r="AH337" s="57">
        <v>13.5</v>
      </c>
      <c r="AI337" s="58">
        <v>80</v>
      </c>
      <c r="AK337" s="57">
        <f t="shared" si="58"/>
        <v>675</v>
      </c>
      <c r="AP337" s="57">
        <v>0</v>
      </c>
      <c r="AQ337" s="59">
        <v>0</v>
      </c>
      <c r="AR337" s="59">
        <v>0</v>
      </c>
      <c r="AS337" s="60">
        <v>0</v>
      </c>
    </row>
    <row r="338" spans="2:45" s="57" customFormat="1">
      <c r="B338" s="46" t="s">
        <v>1304</v>
      </c>
      <c r="C338" s="46" t="s">
        <v>1305</v>
      </c>
      <c r="D338" s="46" t="s">
        <v>417</v>
      </c>
      <c r="E338" s="46" t="s">
        <v>107</v>
      </c>
      <c r="F338" s="46"/>
      <c r="G338" s="77">
        <v>200</v>
      </c>
      <c r="H338" s="65">
        <f>ROUND(O338*1.25,2)</f>
        <v>41.11</v>
      </c>
      <c r="I338" s="49">
        <f t="shared" si="54"/>
        <v>8222</v>
      </c>
      <c r="J338" s="50">
        <v>0.23</v>
      </c>
      <c r="K338" s="51">
        <f t="shared" si="59"/>
        <v>1891.0599999999995</v>
      </c>
      <c r="L338" s="51">
        <f t="shared" si="50"/>
        <v>10113.06</v>
      </c>
      <c r="M338" s="52"/>
      <c r="N338" s="53" t="s">
        <v>1306</v>
      </c>
      <c r="O338" s="52">
        <v>32.89</v>
      </c>
      <c r="P338" s="54"/>
      <c r="Q338" s="54"/>
      <c r="R338" s="55">
        <v>120</v>
      </c>
      <c r="S338" s="54">
        <v>36</v>
      </c>
      <c r="T338" s="56">
        <f t="shared" si="60"/>
        <v>7200</v>
      </c>
      <c r="U338" s="52">
        <v>350</v>
      </c>
      <c r="V338" s="52">
        <v>47.7</v>
      </c>
      <c r="W338" s="52">
        <f t="shared" si="55"/>
        <v>47.7</v>
      </c>
      <c r="X338" s="52">
        <f t="shared" si="52"/>
        <v>9540</v>
      </c>
      <c r="Y338" s="52"/>
      <c r="Z338" s="52">
        <v>46.8</v>
      </c>
      <c r="AA338" s="52">
        <f t="shared" si="53"/>
        <v>9360</v>
      </c>
      <c r="AB338" s="52"/>
      <c r="AC338" s="52"/>
      <c r="AE338" s="57" t="s">
        <v>1307</v>
      </c>
      <c r="AH338" s="57">
        <v>36.69</v>
      </c>
      <c r="AI338" s="58">
        <v>300</v>
      </c>
      <c r="AK338" s="57">
        <f t="shared" si="58"/>
        <v>7338</v>
      </c>
      <c r="AP338" s="57">
        <v>0</v>
      </c>
      <c r="AQ338" s="59">
        <v>0</v>
      </c>
      <c r="AR338" s="59">
        <v>0</v>
      </c>
      <c r="AS338" s="60">
        <v>0</v>
      </c>
    </row>
    <row r="339" spans="2:45" s="57" customFormat="1">
      <c r="B339" s="46" t="s">
        <v>1308</v>
      </c>
      <c r="C339" s="46" t="s">
        <v>1309</v>
      </c>
      <c r="D339" s="46" t="s">
        <v>622</v>
      </c>
      <c r="E339" s="46" t="s">
        <v>56</v>
      </c>
      <c r="F339" s="46" t="s">
        <v>1310</v>
      </c>
      <c r="G339" s="47">
        <v>1</v>
      </c>
      <c r="H339" s="65">
        <f>ROUND(O339*1.1,2)</f>
        <v>755.19</v>
      </c>
      <c r="I339" s="49">
        <f t="shared" si="54"/>
        <v>755.19</v>
      </c>
      <c r="J339" s="50">
        <v>0.23</v>
      </c>
      <c r="K339" s="51">
        <f t="shared" si="59"/>
        <v>173.69370000000004</v>
      </c>
      <c r="L339" s="51">
        <f t="shared" si="50"/>
        <v>928.88370000000009</v>
      </c>
      <c r="M339" s="52" t="s">
        <v>1311</v>
      </c>
      <c r="N339" s="53" t="s">
        <v>50</v>
      </c>
      <c r="O339" s="52">
        <v>686.54</v>
      </c>
      <c r="P339" s="54" t="s">
        <v>64</v>
      </c>
      <c r="Q339" s="54" t="s">
        <v>1312</v>
      </c>
      <c r="R339" s="55"/>
      <c r="S339" s="54">
        <v>700</v>
      </c>
      <c r="T339" s="56">
        <f t="shared" si="60"/>
        <v>700</v>
      </c>
      <c r="U339" s="52">
        <v>1</v>
      </c>
      <c r="V339" s="52">
        <v>633.07000000000005</v>
      </c>
      <c r="W339" s="52">
        <f>ROUND(AH339*1.1,2)</f>
        <v>633.07000000000005</v>
      </c>
      <c r="X339" s="52">
        <f t="shared" si="52"/>
        <v>633.07000000000005</v>
      </c>
      <c r="Y339" s="52">
        <v>0.1</v>
      </c>
      <c r="Z339" s="52">
        <v>1054.1400000000001</v>
      </c>
      <c r="AA339" s="52">
        <f t="shared" si="53"/>
        <v>1054.1400000000001</v>
      </c>
      <c r="AB339" s="57" t="s">
        <v>128</v>
      </c>
      <c r="AC339" s="52"/>
      <c r="AE339" s="57" t="s">
        <v>52</v>
      </c>
      <c r="AH339" s="57">
        <v>575.52</v>
      </c>
      <c r="AI339" s="58">
        <v>0</v>
      </c>
      <c r="AK339" s="57">
        <f t="shared" si="58"/>
        <v>575.52</v>
      </c>
      <c r="AP339" s="57">
        <v>266</v>
      </c>
      <c r="AQ339" s="59" t="s">
        <v>1313</v>
      </c>
      <c r="AR339" s="60">
        <v>28.782500000000002</v>
      </c>
      <c r="AS339" s="60">
        <v>86.347500000000011</v>
      </c>
    </row>
    <row r="340" spans="2:45" s="57" customFormat="1">
      <c r="B340" s="46" t="s">
        <v>1314</v>
      </c>
      <c r="C340" s="46" t="s">
        <v>1309</v>
      </c>
      <c r="D340" s="46" t="s">
        <v>142</v>
      </c>
      <c r="E340" s="46" t="s">
        <v>56</v>
      </c>
      <c r="F340" s="46" t="s">
        <v>1310</v>
      </c>
      <c r="G340" s="61">
        <v>2</v>
      </c>
      <c r="H340" s="65">
        <f t="shared" ref="H340:H341" si="61">ROUND(O340*1.1,2)</f>
        <v>369.2</v>
      </c>
      <c r="I340" s="49">
        <f t="shared" si="54"/>
        <v>738.4</v>
      </c>
      <c r="J340" s="50">
        <v>0.23</v>
      </c>
      <c r="K340" s="51">
        <f t="shared" si="59"/>
        <v>169.83199999999999</v>
      </c>
      <c r="L340" s="51">
        <f t="shared" si="50"/>
        <v>908.23199999999997</v>
      </c>
      <c r="M340" s="52" t="s">
        <v>1311</v>
      </c>
      <c r="N340" s="53" t="s">
        <v>50</v>
      </c>
      <c r="O340" s="52">
        <v>335.64</v>
      </c>
      <c r="P340" s="54" t="s">
        <v>64</v>
      </c>
      <c r="Q340" s="54" t="s">
        <v>1315</v>
      </c>
      <c r="R340" s="55">
        <v>2</v>
      </c>
      <c r="S340" s="54">
        <v>340</v>
      </c>
      <c r="T340" s="56">
        <f t="shared" si="60"/>
        <v>680</v>
      </c>
      <c r="U340" s="52">
        <v>2</v>
      </c>
      <c r="V340" s="52">
        <v>307.88</v>
      </c>
      <c r="W340" s="52">
        <f t="shared" ref="W340:W341" si="62">ROUND(AH340*1.1,2)</f>
        <v>307.88</v>
      </c>
      <c r="X340" s="52">
        <f t="shared" si="52"/>
        <v>615.76</v>
      </c>
      <c r="Y340" s="52">
        <v>0.1</v>
      </c>
      <c r="Z340" s="52">
        <v>468.44</v>
      </c>
      <c r="AA340" s="52">
        <f t="shared" si="53"/>
        <v>936.88</v>
      </c>
      <c r="AB340" s="57" t="s">
        <v>128</v>
      </c>
      <c r="AC340" s="52"/>
      <c r="AE340" s="57" t="s">
        <v>52</v>
      </c>
      <c r="AH340" s="57">
        <v>279.89</v>
      </c>
      <c r="AI340" s="58">
        <v>0</v>
      </c>
      <c r="AK340" s="57">
        <f t="shared" si="58"/>
        <v>559.78</v>
      </c>
      <c r="AP340" s="57">
        <v>0</v>
      </c>
      <c r="AQ340" s="59" t="s">
        <v>1316</v>
      </c>
      <c r="AR340" s="60">
        <v>49</v>
      </c>
      <c r="AS340" s="60">
        <v>245</v>
      </c>
    </row>
    <row r="341" spans="2:45" s="57" customFormat="1">
      <c r="B341" s="46" t="s">
        <v>1317</v>
      </c>
      <c r="C341" s="46" t="s">
        <v>1309</v>
      </c>
      <c r="D341" s="46" t="s">
        <v>545</v>
      </c>
      <c r="E341" s="46" t="s">
        <v>56</v>
      </c>
      <c r="F341" s="46" t="s">
        <v>1310</v>
      </c>
      <c r="G341" s="61">
        <v>2</v>
      </c>
      <c r="H341" s="65">
        <f t="shared" si="61"/>
        <v>240.56</v>
      </c>
      <c r="I341" s="49">
        <f t="shared" si="54"/>
        <v>481.12</v>
      </c>
      <c r="J341" s="50">
        <v>0.23</v>
      </c>
      <c r="K341" s="51">
        <f t="shared" si="59"/>
        <v>110.6576</v>
      </c>
      <c r="L341" s="51">
        <f t="shared" si="50"/>
        <v>591.77760000000001</v>
      </c>
      <c r="M341" s="52" t="s">
        <v>1311</v>
      </c>
      <c r="N341" s="53" t="s">
        <v>50</v>
      </c>
      <c r="O341" s="52">
        <v>218.69</v>
      </c>
      <c r="P341" s="54" t="s">
        <v>64</v>
      </c>
      <c r="Q341" s="54" t="s">
        <v>1318</v>
      </c>
      <c r="R341" s="55">
        <v>1</v>
      </c>
      <c r="S341" s="54">
        <v>220</v>
      </c>
      <c r="T341" s="56">
        <f t="shared" si="60"/>
        <v>440</v>
      </c>
      <c r="U341" s="52">
        <v>2</v>
      </c>
      <c r="V341" s="52">
        <v>200.61</v>
      </c>
      <c r="W341" s="52">
        <f t="shared" si="62"/>
        <v>200.61</v>
      </c>
      <c r="X341" s="52">
        <f t="shared" si="52"/>
        <v>401.22</v>
      </c>
      <c r="Y341" s="52">
        <v>0.1</v>
      </c>
      <c r="Z341" s="52">
        <v>232.34</v>
      </c>
      <c r="AA341" s="52">
        <f t="shared" si="53"/>
        <v>464.68</v>
      </c>
      <c r="AB341" s="57" t="s">
        <v>128</v>
      </c>
      <c r="AC341" s="52"/>
      <c r="AE341" s="57" t="s">
        <v>52</v>
      </c>
      <c r="AH341" s="57">
        <v>182.37</v>
      </c>
      <c r="AI341" s="58">
        <v>0</v>
      </c>
      <c r="AK341" s="57">
        <f t="shared" si="58"/>
        <v>364.74</v>
      </c>
      <c r="AP341" s="57">
        <v>4</v>
      </c>
      <c r="AQ341" s="59" t="s">
        <v>1319</v>
      </c>
      <c r="AR341" s="60">
        <v>27.1005</v>
      </c>
      <c r="AS341" s="60">
        <v>271.005</v>
      </c>
    </row>
    <row r="342" spans="2:45" s="57" customFormat="1" ht="22.5">
      <c r="B342" s="46" t="s">
        <v>1320</v>
      </c>
      <c r="C342" s="46" t="s">
        <v>1321</v>
      </c>
      <c r="D342" s="46" t="s">
        <v>106</v>
      </c>
      <c r="E342" s="46" t="s">
        <v>107</v>
      </c>
      <c r="F342" s="46" t="s">
        <v>1322</v>
      </c>
      <c r="G342" s="61">
        <v>5</v>
      </c>
      <c r="H342" s="65">
        <f t="shared" ref="H342:H388" si="63">ROUND(O342*1.5,2)</f>
        <v>87.18</v>
      </c>
      <c r="I342" s="49">
        <f t="shared" si="54"/>
        <v>435.90000000000003</v>
      </c>
      <c r="J342" s="50">
        <v>0.23</v>
      </c>
      <c r="K342" s="51">
        <f t="shared" si="59"/>
        <v>100.25700000000001</v>
      </c>
      <c r="L342" s="51">
        <f t="shared" si="50"/>
        <v>536.15700000000004</v>
      </c>
      <c r="M342" s="52"/>
      <c r="N342" s="53" t="s">
        <v>50</v>
      </c>
      <c r="O342" s="52">
        <v>58.12</v>
      </c>
      <c r="P342" s="54" t="s">
        <v>64</v>
      </c>
      <c r="Q342" s="54">
        <v>57.38</v>
      </c>
      <c r="R342" s="55">
        <v>7</v>
      </c>
      <c r="S342" s="54">
        <v>62</v>
      </c>
      <c r="T342" s="56">
        <f t="shared" si="60"/>
        <v>310</v>
      </c>
      <c r="U342" s="52">
        <v>5</v>
      </c>
      <c r="V342" s="52">
        <v>76.540000000000006</v>
      </c>
      <c r="W342" s="52">
        <f t="shared" si="55"/>
        <v>76.540000000000006</v>
      </c>
      <c r="X342" s="52">
        <f t="shared" si="52"/>
        <v>382.70000000000005</v>
      </c>
      <c r="Y342" s="52"/>
      <c r="Z342" s="52">
        <v>69.260000000000005</v>
      </c>
      <c r="AA342" s="52">
        <f t="shared" si="53"/>
        <v>346.3</v>
      </c>
      <c r="AB342" s="52"/>
      <c r="AC342" s="52"/>
      <c r="AE342" s="57" t="s">
        <v>52</v>
      </c>
      <c r="AH342" s="57">
        <v>58.88</v>
      </c>
      <c r="AI342" s="58">
        <v>0</v>
      </c>
      <c r="AK342" s="57">
        <f t="shared" si="58"/>
        <v>294.40000000000003</v>
      </c>
      <c r="AP342" s="57">
        <v>2</v>
      </c>
      <c r="AQ342" s="59" t="s">
        <v>1323</v>
      </c>
      <c r="AR342" s="60">
        <v>22.19</v>
      </c>
      <c r="AS342" s="60">
        <v>1109.5</v>
      </c>
    </row>
    <row r="343" spans="2:45" s="57" customFormat="1">
      <c r="B343" s="46" t="s">
        <v>1324</v>
      </c>
      <c r="C343" s="46" t="s">
        <v>1325</v>
      </c>
      <c r="D343" s="46" t="s">
        <v>622</v>
      </c>
      <c r="E343" s="46" t="s">
        <v>56</v>
      </c>
      <c r="F343" s="46" t="s">
        <v>1326</v>
      </c>
      <c r="G343" s="61">
        <v>1</v>
      </c>
      <c r="H343" s="65">
        <f>ROUND(O343*1.1,2)</f>
        <v>928.49</v>
      </c>
      <c r="I343" s="49">
        <f t="shared" si="54"/>
        <v>928.49</v>
      </c>
      <c r="J343" s="50">
        <v>0.23</v>
      </c>
      <c r="K343" s="51">
        <f t="shared" si="59"/>
        <v>213.55269999999996</v>
      </c>
      <c r="L343" s="51">
        <f t="shared" ref="L343:L406" si="64">I343+I343*J343</f>
        <v>1142.0427</v>
      </c>
      <c r="M343" s="52"/>
      <c r="N343" s="53" t="s">
        <v>50</v>
      </c>
      <c r="O343" s="52">
        <v>844.08</v>
      </c>
      <c r="P343" s="54" t="s">
        <v>64</v>
      </c>
      <c r="Q343" s="54"/>
      <c r="R343" s="55"/>
      <c r="S343" s="54">
        <v>850</v>
      </c>
      <c r="T343" s="56">
        <f t="shared" si="60"/>
        <v>850</v>
      </c>
      <c r="U343" s="52">
        <v>1</v>
      </c>
      <c r="V343" s="52">
        <v>774.26</v>
      </c>
      <c r="W343" s="52">
        <f>ROUND(AH343*1.1,2)</f>
        <v>774.26</v>
      </c>
      <c r="X343" s="52">
        <f t="shared" si="52"/>
        <v>774.26</v>
      </c>
      <c r="Y343" s="52">
        <v>0.1</v>
      </c>
      <c r="Z343" s="52">
        <v>1128.5</v>
      </c>
      <c r="AA343" s="52">
        <f t="shared" si="53"/>
        <v>1128.5</v>
      </c>
      <c r="AB343" s="57" t="s">
        <v>128</v>
      </c>
      <c r="AC343" s="52"/>
      <c r="AE343" s="57" t="s">
        <v>52</v>
      </c>
      <c r="AH343" s="57">
        <v>703.87</v>
      </c>
      <c r="AI343" s="58">
        <v>0</v>
      </c>
      <c r="AK343" s="57">
        <f t="shared" si="58"/>
        <v>703.87</v>
      </c>
      <c r="AP343" s="57">
        <v>0</v>
      </c>
      <c r="AQ343" s="59" t="s">
        <v>1327</v>
      </c>
      <c r="AR343" s="60">
        <v>11</v>
      </c>
      <c r="AS343" s="60">
        <v>55</v>
      </c>
    </row>
    <row r="344" spans="2:45" s="57" customFormat="1">
      <c r="B344" s="46" t="s">
        <v>1328</v>
      </c>
      <c r="C344" s="46" t="s">
        <v>1325</v>
      </c>
      <c r="D344" s="46" t="s">
        <v>142</v>
      </c>
      <c r="E344" s="46" t="s">
        <v>56</v>
      </c>
      <c r="F344" s="46" t="s">
        <v>1326</v>
      </c>
      <c r="G344" s="61">
        <v>2</v>
      </c>
      <c r="H344" s="65">
        <f>ROUND(O344*1.1,2)</f>
        <v>438.54</v>
      </c>
      <c r="I344" s="49">
        <f t="shared" si="54"/>
        <v>877.08</v>
      </c>
      <c r="J344" s="50">
        <v>0.23</v>
      </c>
      <c r="K344" s="51">
        <f t="shared" si="59"/>
        <v>201.72840000000008</v>
      </c>
      <c r="L344" s="51">
        <f t="shared" si="64"/>
        <v>1078.8084000000001</v>
      </c>
      <c r="M344" s="52"/>
      <c r="N344" s="53" t="s">
        <v>50</v>
      </c>
      <c r="O344" s="52">
        <v>398.67</v>
      </c>
      <c r="P344" s="54" t="s">
        <v>64</v>
      </c>
      <c r="Q344" s="54" t="s">
        <v>1329</v>
      </c>
      <c r="R344" s="55"/>
      <c r="S344" s="54">
        <v>400</v>
      </c>
      <c r="T344" s="56">
        <f t="shared" si="60"/>
        <v>800</v>
      </c>
      <c r="U344" s="52">
        <v>2</v>
      </c>
      <c r="V344" s="52">
        <v>365.71</v>
      </c>
      <c r="W344" s="52">
        <f>ROUND(AH344*1.1,2)</f>
        <v>365.71</v>
      </c>
      <c r="X344" s="52">
        <f t="shared" si="52"/>
        <v>731.42</v>
      </c>
      <c r="Y344" s="52">
        <v>0.1</v>
      </c>
      <c r="Z344" s="52">
        <v>443.39</v>
      </c>
      <c r="AA344" s="52">
        <f t="shared" si="53"/>
        <v>886.78</v>
      </c>
      <c r="AB344" s="57" t="s">
        <v>128</v>
      </c>
      <c r="AC344" s="52"/>
      <c r="AE344" s="57" t="s">
        <v>52</v>
      </c>
      <c r="AH344" s="57">
        <v>332.46</v>
      </c>
      <c r="AI344" s="58">
        <v>0</v>
      </c>
      <c r="AK344" s="57">
        <f t="shared" si="58"/>
        <v>664.92</v>
      </c>
      <c r="AP344" s="57">
        <v>0</v>
      </c>
      <c r="AQ344" s="59">
        <v>0</v>
      </c>
      <c r="AR344" s="59">
        <v>0</v>
      </c>
      <c r="AS344" s="60">
        <v>0</v>
      </c>
    </row>
    <row r="345" spans="2:45" s="57" customFormat="1">
      <c r="B345" s="46" t="s">
        <v>1330</v>
      </c>
      <c r="C345" s="64" t="s">
        <v>1331</v>
      </c>
      <c r="D345" s="64" t="s">
        <v>1332</v>
      </c>
      <c r="E345" s="64" t="s">
        <v>56</v>
      </c>
      <c r="F345" s="64" t="s">
        <v>1333</v>
      </c>
      <c r="G345" s="47">
        <v>5</v>
      </c>
      <c r="H345" s="65">
        <v>330</v>
      </c>
      <c r="I345" s="49">
        <f t="shared" si="54"/>
        <v>1650</v>
      </c>
      <c r="J345" s="50">
        <v>0.23</v>
      </c>
      <c r="K345" s="51">
        <f t="shared" si="59"/>
        <v>379.5</v>
      </c>
      <c r="L345" s="51">
        <f t="shared" si="64"/>
        <v>2029.5</v>
      </c>
      <c r="M345" s="52" t="s">
        <v>237</v>
      </c>
      <c r="N345" s="53" t="s">
        <v>50</v>
      </c>
      <c r="O345" s="52">
        <v>415.88</v>
      </c>
      <c r="P345" s="54" t="s">
        <v>64</v>
      </c>
      <c r="Q345" s="54"/>
      <c r="R345" s="55"/>
      <c r="S345" s="54">
        <v>440</v>
      </c>
      <c r="T345" s="56">
        <f t="shared" si="60"/>
        <v>2200</v>
      </c>
      <c r="U345" s="52">
        <v>5</v>
      </c>
      <c r="V345" s="52">
        <v>380</v>
      </c>
      <c r="W345" s="52">
        <v>380</v>
      </c>
      <c r="X345" s="52">
        <f t="shared" si="52"/>
        <v>1900</v>
      </c>
      <c r="Y345" s="52" t="s">
        <v>1334</v>
      </c>
      <c r="Z345" s="52">
        <v>600</v>
      </c>
      <c r="AA345" s="52">
        <f t="shared" si="53"/>
        <v>3000</v>
      </c>
      <c r="AB345" s="52" t="s">
        <v>239</v>
      </c>
      <c r="AC345" s="52"/>
      <c r="AE345" s="57" t="s">
        <v>52</v>
      </c>
      <c r="AH345" s="57">
        <v>349.2</v>
      </c>
      <c r="AI345" s="58" t="s">
        <v>239</v>
      </c>
      <c r="AK345" s="57">
        <f t="shared" si="58"/>
        <v>1746</v>
      </c>
      <c r="AP345" s="57">
        <v>0</v>
      </c>
      <c r="AQ345" s="59">
        <v>0</v>
      </c>
      <c r="AR345" s="59">
        <v>0</v>
      </c>
      <c r="AS345" s="60">
        <v>0</v>
      </c>
    </row>
    <row r="346" spans="2:45" s="57" customFormat="1">
      <c r="B346" s="46" t="s">
        <v>1335</v>
      </c>
      <c r="C346" s="46" t="s">
        <v>1336</v>
      </c>
      <c r="D346" s="46" t="s">
        <v>545</v>
      </c>
      <c r="E346" s="46" t="s">
        <v>56</v>
      </c>
      <c r="F346" s="46" t="s">
        <v>1337</v>
      </c>
      <c r="G346" s="76">
        <v>5</v>
      </c>
      <c r="H346" s="65">
        <f>ROUND(O346*1.2,2)</f>
        <v>87.44</v>
      </c>
      <c r="I346" s="49">
        <f t="shared" si="54"/>
        <v>437.2</v>
      </c>
      <c r="J346" s="50">
        <v>0.23</v>
      </c>
      <c r="K346" s="51">
        <f t="shared" si="59"/>
        <v>100.55599999999998</v>
      </c>
      <c r="L346" s="51">
        <f t="shared" si="64"/>
        <v>537.75599999999997</v>
      </c>
      <c r="M346" s="52"/>
      <c r="N346" s="53" t="s">
        <v>50</v>
      </c>
      <c r="O346" s="52">
        <v>72.87</v>
      </c>
      <c r="P346" s="54" t="s">
        <v>64</v>
      </c>
      <c r="Q346" s="54"/>
      <c r="R346" s="55"/>
      <c r="S346" s="54">
        <v>80</v>
      </c>
      <c r="T346" s="56">
        <f t="shared" si="60"/>
        <v>400</v>
      </c>
      <c r="U346" s="52">
        <v>5</v>
      </c>
      <c r="V346" s="52">
        <v>92.3</v>
      </c>
      <c r="W346" s="52">
        <f t="shared" si="55"/>
        <v>92.3</v>
      </c>
      <c r="X346" s="52">
        <f t="shared" si="52"/>
        <v>461.5</v>
      </c>
      <c r="Y346" s="52"/>
      <c r="Z346" s="52">
        <v>85.28</v>
      </c>
      <c r="AA346" s="52">
        <f t="shared" si="53"/>
        <v>426.4</v>
      </c>
      <c r="AB346" s="52"/>
      <c r="AC346" s="52"/>
      <c r="AE346" s="57" t="s">
        <v>52</v>
      </c>
      <c r="AH346" s="57">
        <v>71</v>
      </c>
      <c r="AI346" s="58">
        <v>2</v>
      </c>
      <c r="AK346" s="57">
        <f t="shared" si="58"/>
        <v>355</v>
      </c>
      <c r="AP346" s="57">
        <v>0</v>
      </c>
      <c r="AQ346" s="59" t="s">
        <v>1338</v>
      </c>
      <c r="AR346" s="60">
        <v>23.98</v>
      </c>
      <c r="AS346" s="60">
        <v>479.6</v>
      </c>
    </row>
    <row r="347" spans="2:45" s="57" customFormat="1" ht="22.5">
      <c r="B347" s="46" t="s">
        <v>1339</v>
      </c>
      <c r="C347" s="46" t="s">
        <v>1340</v>
      </c>
      <c r="D347" s="46" t="s">
        <v>142</v>
      </c>
      <c r="E347" s="46" t="s">
        <v>56</v>
      </c>
      <c r="F347" s="64" t="s">
        <v>1341</v>
      </c>
      <c r="G347" s="76">
        <v>4</v>
      </c>
      <c r="H347" s="65">
        <f>ROUND(O347*1.2,2)</f>
        <v>300</v>
      </c>
      <c r="I347" s="49">
        <f t="shared" si="54"/>
        <v>1200</v>
      </c>
      <c r="J347" s="50">
        <v>0.23</v>
      </c>
      <c r="K347" s="51">
        <f t="shared" si="59"/>
        <v>276</v>
      </c>
      <c r="L347" s="51">
        <f t="shared" si="64"/>
        <v>1476</v>
      </c>
      <c r="M347" s="52" t="s">
        <v>1342</v>
      </c>
      <c r="N347" s="56"/>
      <c r="O347" s="56">
        <v>250</v>
      </c>
      <c r="P347" s="54"/>
      <c r="Q347" s="54" t="s">
        <v>1343</v>
      </c>
      <c r="R347" s="55"/>
      <c r="S347" s="54">
        <v>230</v>
      </c>
      <c r="T347" s="56">
        <f t="shared" si="60"/>
        <v>920</v>
      </c>
      <c r="U347" s="52">
        <v>12</v>
      </c>
      <c r="V347" s="52">
        <v>192.4</v>
      </c>
      <c r="W347" s="52">
        <f t="shared" si="55"/>
        <v>192.4</v>
      </c>
      <c r="X347" s="52">
        <f t="shared" si="52"/>
        <v>769.6</v>
      </c>
      <c r="Y347" s="52"/>
      <c r="Z347" s="52">
        <v>177.98</v>
      </c>
      <c r="AA347" s="52">
        <f t="shared" si="53"/>
        <v>711.92</v>
      </c>
      <c r="AB347" s="52"/>
      <c r="AC347" s="52"/>
      <c r="AE347" s="57" t="s">
        <v>52</v>
      </c>
      <c r="AH347" s="57">
        <v>148</v>
      </c>
      <c r="AI347" s="58">
        <v>6</v>
      </c>
      <c r="AK347" s="57">
        <f t="shared" si="58"/>
        <v>592</v>
      </c>
      <c r="AP347" s="57">
        <v>80</v>
      </c>
      <c r="AQ347" s="59" t="s">
        <v>1344</v>
      </c>
      <c r="AR347" s="60">
        <v>11</v>
      </c>
      <c r="AS347" s="60">
        <v>2200</v>
      </c>
    </row>
    <row r="348" spans="2:45" s="57" customFormat="1">
      <c r="B348" s="46" t="s">
        <v>1345</v>
      </c>
      <c r="C348" s="46" t="s">
        <v>1346</v>
      </c>
      <c r="D348" s="66" t="s">
        <v>106</v>
      </c>
      <c r="E348" s="46" t="s">
        <v>107</v>
      </c>
      <c r="F348" s="46" t="s">
        <v>1347</v>
      </c>
      <c r="G348" s="67">
        <v>3</v>
      </c>
      <c r="H348" s="65">
        <f t="shared" si="63"/>
        <v>25.35</v>
      </c>
      <c r="I348" s="49">
        <f t="shared" si="54"/>
        <v>76.050000000000011</v>
      </c>
      <c r="J348" s="50">
        <v>0.08</v>
      </c>
      <c r="K348" s="51">
        <f t="shared" si="59"/>
        <v>6.0840000000000032</v>
      </c>
      <c r="L348" s="51">
        <f t="shared" si="64"/>
        <v>82.134000000000015</v>
      </c>
      <c r="M348" s="52"/>
      <c r="N348" s="53" t="s">
        <v>185</v>
      </c>
      <c r="O348" s="52">
        <v>16.899999999999999</v>
      </c>
      <c r="P348" s="54" t="s">
        <v>24</v>
      </c>
      <c r="Q348" s="54"/>
      <c r="R348" s="55">
        <v>1</v>
      </c>
      <c r="S348" s="54">
        <v>20</v>
      </c>
      <c r="T348" s="56">
        <f t="shared" si="60"/>
        <v>60</v>
      </c>
      <c r="U348" s="52">
        <v>3</v>
      </c>
      <c r="V348" s="52">
        <v>21.97</v>
      </c>
      <c r="W348" s="52">
        <f t="shared" si="55"/>
        <v>21.97</v>
      </c>
      <c r="X348" s="52">
        <f t="shared" si="52"/>
        <v>65.91</v>
      </c>
      <c r="Y348" s="52"/>
      <c r="Z348" s="52">
        <v>20.28</v>
      </c>
      <c r="AA348" s="52">
        <f t="shared" si="53"/>
        <v>60.84</v>
      </c>
      <c r="AB348" s="52"/>
      <c r="AC348" s="52"/>
      <c r="AE348" s="57" t="s">
        <v>187</v>
      </c>
      <c r="AH348" s="57">
        <v>16.899999999999999</v>
      </c>
      <c r="AI348" s="58"/>
      <c r="AK348" s="57">
        <f t="shared" si="58"/>
        <v>50.699999999999996</v>
      </c>
      <c r="AP348" s="57">
        <v>300</v>
      </c>
      <c r="AQ348" s="59">
        <v>0</v>
      </c>
      <c r="AR348" s="59">
        <v>0</v>
      </c>
      <c r="AS348" s="60">
        <v>0</v>
      </c>
    </row>
    <row r="349" spans="2:45" s="97" customFormat="1" ht="22.5">
      <c r="B349" s="93" t="s">
        <v>1348</v>
      </c>
      <c r="C349" s="93" t="s">
        <v>1349</v>
      </c>
      <c r="D349" s="94" t="s">
        <v>1350</v>
      </c>
      <c r="E349" s="95" t="s">
        <v>1351</v>
      </c>
      <c r="F349" s="93" t="s">
        <v>1352</v>
      </c>
      <c r="G349" s="96">
        <v>1</v>
      </c>
      <c r="H349" s="65">
        <f>ROUND(O349*1.2,2)</f>
        <v>195.3</v>
      </c>
      <c r="I349" s="49">
        <f t="shared" si="54"/>
        <v>195.3</v>
      </c>
      <c r="J349" s="50">
        <v>0.23</v>
      </c>
      <c r="K349" s="51">
        <f t="shared" si="59"/>
        <v>44.919000000000011</v>
      </c>
      <c r="L349" s="51">
        <f t="shared" si="64"/>
        <v>240.21900000000002</v>
      </c>
      <c r="M349" s="52"/>
      <c r="N349" s="53" t="s">
        <v>864</v>
      </c>
      <c r="O349" s="52">
        <v>162.75</v>
      </c>
      <c r="P349" s="54" t="s">
        <v>1353</v>
      </c>
      <c r="Q349" s="54"/>
      <c r="R349" s="55"/>
      <c r="S349" s="54">
        <v>170</v>
      </c>
      <c r="T349" s="56">
        <f t="shared" si="60"/>
        <v>170</v>
      </c>
      <c r="U349" s="52"/>
      <c r="V349" s="52"/>
      <c r="W349" s="52"/>
      <c r="X349" s="52"/>
      <c r="Y349" s="52"/>
      <c r="Z349" s="52"/>
      <c r="AA349" s="52"/>
      <c r="AB349" s="52"/>
      <c r="AC349" s="52"/>
      <c r="AI349" s="98"/>
      <c r="AQ349" s="99"/>
      <c r="AR349" s="99"/>
      <c r="AS349" s="100"/>
    </row>
    <row r="350" spans="2:45" s="97" customFormat="1" ht="22.5">
      <c r="B350" s="93" t="s">
        <v>1354</v>
      </c>
      <c r="C350" s="93" t="s">
        <v>1355</v>
      </c>
      <c r="D350" s="94" t="s">
        <v>1350</v>
      </c>
      <c r="E350" s="93" t="s">
        <v>107</v>
      </c>
      <c r="F350" s="93" t="s">
        <v>1356</v>
      </c>
      <c r="G350" s="96">
        <v>1</v>
      </c>
      <c r="H350" s="65">
        <f t="shared" ref="H350:H352" si="65">ROUND(O350*1.2,2)</f>
        <v>216.5</v>
      </c>
      <c r="I350" s="49">
        <f t="shared" si="54"/>
        <v>216.5</v>
      </c>
      <c r="J350" s="50">
        <v>0.23</v>
      </c>
      <c r="K350" s="51">
        <f t="shared" si="59"/>
        <v>49.795000000000016</v>
      </c>
      <c r="L350" s="51">
        <f t="shared" si="64"/>
        <v>266.29500000000002</v>
      </c>
      <c r="M350" s="52"/>
      <c r="N350" s="53" t="s">
        <v>864</v>
      </c>
      <c r="O350" s="52">
        <v>180.42</v>
      </c>
      <c r="P350" s="54" t="s">
        <v>1353</v>
      </c>
      <c r="Q350" s="54"/>
      <c r="R350" s="55"/>
      <c r="S350" s="54">
        <v>185</v>
      </c>
      <c r="T350" s="56">
        <f t="shared" si="60"/>
        <v>185</v>
      </c>
      <c r="U350" s="52"/>
      <c r="V350" s="52"/>
      <c r="W350" s="52"/>
      <c r="X350" s="52"/>
      <c r="Y350" s="52"/>
      <c r="Z350" s="52"/>
      <c r="AA350" s="52"/>
      <c r="AB350" s="52"/>
      <c r="AC350" s="52"/>
      <c r="AI350" s="98"/>
      <c r="AQ350" s="99"/>
      <c r="AR350" s="99"/>
      <c r="AS350" s="100"/>
    </row>
    <row r="351" spans="2:45" s="97" customFormat="1" ht="11.25">
      <c r="B351" s="93" t="s">
        <v>1357</v>
      </c>
      <c r="C351" s="93" t="s">
        <v>1358</v>
      </c>
      <c r="D351" s="94" t="s">
        <v>1350</v>
      </c>
      <c r="E351" s="93" t="s">
        <v>107</v>
      </c>
      <c r="F351" s="93" t="s">
        <v>1359</v>
      </c>
      <c r="G351" s="96">
        <v>1</v>
      </c>
      <c r="H351" s="65">
        <f t="shared" si="65"/>
        <v>263.38</v>
      </c>
      <c r="I351" s="49">
        <f t="shared" si="54"/>
        <v>263.38</v>
      </c>
      <c r="J351" s="50">
        <v>0.23</v>
      </c>
      <c r="K351" s="51">
        <f t="shared" si="59"/>
        <v>60.577400000000011</v>
      </c>
      <c r="L351" s="51">
        <f t="shared" si="64"/>
        <v>323.95740000000001</v>
      </c>
      <c r="M351" s="52"/>
      <c r="N351" s="53" t="s">
        <v>864</v>
      </c>
      <c r="O351" s="52">
        <v>219.48</v>
      </c>
      <c r="P351" s="54" t="s">
        <v>1353</v>
      </c>
      <c r="Q351" s="54"/>
      <c r="R351" s="55"/>
      <c r="S351" s="54">
        <v>225</v>
      </c>
      <c r="T351" s="56">
        <f t="shared" si="60"/>
        <v>225</v>
      </c>
      <c r="U351" s="52"/>
      <c r="V351" s="52"/>
      <c r="W351" s="52"/>
      <c r="X351" s="52"/>
      <c r="Y351" s="52"/>
      <c r="Z351" s="52"/>
      <c r="AA351" s="52"/>
      <c r="AB351" s="52"/>
      <c r="AC351" s="52"/>
      <c r="AI351" s="98"/>
      <c r="AQ351" s="99"/>
      <c r="AR351" s="99"/>
      <c r="AS351" s="100"/>
    </row>
    <row r="352" spans="2:45" s="97" customFormat="1" ht="22.5">
      <c r="B352" s="93" t="s">
        <v>1360</v>
      </c>
      <c r="C352" s="93" t="s">
        <v>1361</v>
      </c>
      <c r="D352" s="94" t="s">
        <v>1350</v>
      </c>
      <c r="E352" s="93" t="s">
        <v>107</v>
      </c>
      <c r="F352" s="93" t="s">
        <v>1362</v>
      </c>
      <c r="G352" s="96">
        <v>1</v>
      </c>
      <c r="H352" s="65">
        <f t="shared" si="65"/>
        <v>90.29</v>
      </c>
      <c r="I352" s="49">
        <f t="shared" si="54"/>
        <v>90.29</v>
      </c>
      <c r="J352" s="50">
        <v>0.23</v>
      </c>
      <c r="K352" s="51">
        <f t="shared" si="59"/>
        <v>20.7667</v>
      </c>
      <c r="L352" s="51">
        <f t="shared" si="64"/>
        <v>111.05670000000001</v>
      </c>
      <c r="M352" s="52"/>
      <c r="N352" s="53" t="s">
        <v>864</v>
      </c>
      <c r="O352" s="52">
        <v>75.239999999999995</v>
      </c>
      <c r="P352" s="54" t="s">
        <v>1353</v>
      </c>
      <c r="Q352" s="54"/>
      <c r="R352" s="55"/>
      <c r="S352" s="54">
        <v>80</v>
      </c>
      <c r="T352" s="56">
        <f t="shared" si="60"/>
        <v>80</v>
      </c>
      <c r="U352" s="52"/>
      <c r="V352" s="52"/>
      <c r="W352" s="52"/>
      <c r="X352" s="52"/>
      <c r="Y352" s="52"/>
      <c r="Z352" s="52"/>
      <c r="AA352" s="52"/>
      <c r="AB352" s="52"/>
      <c r="AC352" s="52"/>
      <c r="AI352" s="98"/>
      <c r="AQ352" s="99"/>
      <c r="AR352" s="99"/>
      <c r="AS352" s="100"/>
    </row>
    <row r="353" spans="2:45" s="57" customFormat="1">
      <c r="B353" s="93" t="s">
        <v>1363</v>
      </c>
      <c r="C353" s="101" t="s">
        <v>1364</v>
      </c>
      <c r="D353" s="102" t="s">
        <v>106</v>
      </c>
      <c r="E353" s="101" t="s">
        <v>88</v>
      </c>
      <c r="F353" s="101" t="s">
        <v>1365</v>
      </c>
      <c r="G353" s="103">
        <v>2</v>
      </c>
      <c r="H353" s="104">
        <f t="shared" si="63"/>
        <v>229.5</v>
      </c>
      <c r="I353" s="105">
        <f t="shared" si="54"/>
        <v>459</v>
      </c>
      <c r="J353" s="106">
        <v>0.23</v>
      </c>
      <c r="K353" s="107">
        <f t="shared" si="59"/>
        <v>105.57000000000005</v>
      </c>
      <c r="L353" s="107">
        <f t="shared" si="64"/>
        <v>564.57000000000005</v>
      </c>
      <c r="M353" s="108" t="s">
        <v>1366</v>
      </c>
      <c r="N353" s="92" t="s">
        <v>1366</v>
      </c>
      <c r="O353" s="109">
        <v>153</v>
      </c>
      <c r="P353" s="54" t="s">
        <v>24</v>
      </c>
      <c r="Q353" s="54"/>
      <c r="R353" s="55">
        <v>1</v>
      </c>
      <c r="S353" s="54">
        <v>90</v>
      </c>
      <c r="T353" s="56">
        <f t="shared" si="60"/>
        <v>180</v>
      </c>
      <c r="U353" s="52">
        <v>2</v>
      </c>
      <c r="V353" s="52">
        <v>175.56</v>
      </c>
      <c r="W353" s="52">
        <f>ROUND(AH353*1.1,2)</f>
        <v>175.56</v>
      </c>
      <c r="X353" s="52">
        <f t="shared" si="52"/>
        <v>351.12</v>
      </c>
      <c r="Y353" s="52"/>
      <c r="Z353" s="52">
        <v>194.4</v>
      </c>
      <c r="AA353" s="52">
        <f t="shared" si="53"/>
        <v>388.8</v>
      </c>
      <c r="AB353" s="52"/>
      <c r="AC353" s="52"/>
      <c r="AE353" s="57" t="s">
        <v>1366</v>
      </c>
      <c r="AH353" s="57">
        <v>159.6</v>
      </c>
      <c r="AI353" s="58"/>
      <c r="AK353" s="57">
        <f t="shared" si="58"/>
        <v>319.2</v>
      </c>
      <c r="AQ353" s="59" t="s">
        <v>1367</v>
      </c>
      <c r="AR353" s="60">
        <v>22.76</v>
      </c>
      <c r="AS353" s="60">
        <v>910.40000000000009</v>
      </c>
    </row>
    <row r="354" spans="2:45" s="57" customFormat="1">
      <c r="B354" s="93" t="s">
        <v>1368</v>
      </c>
      <c r="C354" s="46" t="s">
        <v>1369</v>
      </c>
      <c r="D354" s="66" t="s">
        <v>328</v>
      </c>
      <c r="E354" s="46" t="s">
        <v>88</v>
      </c>
      <c r="F354" s="46" t="s">
        <v>1370</v>
      </c>
      <c r="G354" s="67">
        <v>1</v>
      </c>
      <c r="H354" s="65">
        <f>ROUND(O354*1.1,2)</f>
        <v>207.92</v>
      </c>
      <c r="I354" s="49">
        <f t="shared" si="54"/>
        <v>207.92</v>
      </c>
      <c r="J354" s="50">
        <v>0.23</v>
      </c>
      <c r="K354" s="51">
        <f t="shared" si="59"/>
        <v>47.821599999999989</v>
      </c>
      <c r="L354" s="51">
        <f t="shared" si="64"/>
        <v>255.74159999999998</v>
      </c>
      <c r="M354" s="52" t="s">
        <v>1371</v>
      </c>
      <c r="N354" s="53" t="s">
        <v>50</v>
      </c>
      <c r="O354" s="52">
        <v>189.02</v>
      </c>
      <c r="P354" s="54" t="s">
        <v>64</v>
      </c>
      <c r="Q354" s="54">
        <v>72.31</v>
      </c>
      <c r="R354" s="55"/>
      <c r="S354" s="54">
        <v>80</v>
      </c>
      <c r="T354" s="56">
        <f t="shared" si="60"/>
        <v>80</v>
      </c>
      <c r="U354" s="52">
        <v>1</v>
      </c>
      <c r="V354" s="52">
        <v>90</v>
      </c>
      <c r="W354" s="52">
        <v>90</v>
      </c>
      <c r="X354" s="52">
        <f t="shared" si="52"/>
        <v>90</v>
      </c>
      <c r="Y354" s="52" t="s">
        <v>1017</v>
      </c>
      <c r="Z354" s="52">
        <v>200</v>
      </c>
      <c r="AA354" s="52">
        <f t="shared" si="53"/>
        <v>200</v>
      </c>
      <c r="AB354" s="52"/>
      <c r="AC354" s="52"/>
      <c r="AD354" s="57" t="s">
        <v>764</v>
      </c>
      <c r="AE354" s="57" t="s">
        <v>52</v>
      </c>
      <c r="AH354" s="57">
        <v>213.54</v>
      </c>
      <c r="AI354" s="58"/>
      <c r="AK354" s="57">
        <f t="shared" si="58"/>
        <v>213.54</v>
      </c>
      <c r="AQ354" s="59" t="s">
        <v>1372</v>
      </c>
      <c r="AR354" s="60">
        <v>31.9145</v>
      </c>
      <c r="AS354" s="60">
        <v>1276.58</v>
      </c>
    </row>
    <row r="355" spans="2:45" s="57" customFormat="1">
      <c r="B355" s="93" t="s">
        <v>1373</v>
      </c>
      <c r="C355" s="46" t="s">
        <v>1374</v>
      </c>
      <c r="D355" s="46" t="s">
        <v>47</v>
      </c>
      <c r="E355" s="46" t="s">
        <v>56</v>
      </c>
      <c r="F355" s="46" t="s">
        <v>1375</v>
      </c>
      <c r="G355" s="61">
        <v>40</v>
      </c>
      <c r="H355" s="48">
        <f t="shared" si="63"/>
        <v>20.94</v>
      </c>
      <c r="I355" s="49">
        <f t="shared" si="54"/>
        <v>837.6</v>
      </c>
      <c r="J355" s="50">
        <v>0.23</v>
      </c>
      <c r="K355" s="51">
        <f t="shared" si="59"/>
        <v>192.64800000000002</v>
      </c>
      <c r="L355" s="51">
        <f t="shared" si="64"/>
        <v>1030.248</v>
      </c>
      <c r="M355" s="52" t="s">
        <v>1376</v>
      </c>
      <c r="N355" s="53" t="s">
        <v>50</v>
      </c>
      <c r="O355" s="52">
        <v>13.96</v>
      </c>
      <c r="P355" s="54" t="s">
        <v>51</v>
      </c>
      <c r="Q355" s="54">
        <v>11.31</v>
      </c>
      <c r="R355" s="55">
        <v>5</v>
      </c>
      <c r="S355" s="54">
        <v>13</v>
      </c>
      <c r="T355" s="56">
        <f t="shared" si="60"/>
        <v>520</v>
      </c>
      <c r="U355" s="52">
        <v>40</v>
      </c>
      <c r="V355" s="52">
        <v>18.850000000000001</v>
      </c>
      <c r="W355" s="52">
        <f t="shared" si="55"/>
        <v>18.850000000000001</v>
      </c>
      <c r="X355" s="52">
        <f t="shared" ref="X355:X388" si="66">W355*G355</f>
        <v>754</v>
      </c>
      <c r="Y355" s="52"/>
      <c r="Z355" s="52">
        <v>13.1</v>
      </c>
      <c r="AA355" s="52">
        <f t="shared" ref="AA355:AA388" si="67">Z355*G355</f>
        <v>524</v>
      </c>
      <c r="AB355" s="52"/>
      <c r="AC355" s="52"/>
      <c r="AE355" s="57" t="s">
        <v>52</v>
      </c>
      <c r="AH355" s="57">
        <v>14.5</v>
      </c>
      <c r="AI355" s="58">
        <v>7</v>
      </c>
      <c r="AK355" s="57">
        <f t="shared" si="58"/>
        <v>580</v>
      </c>
      <c r="AQ355" s="59" t="s">
        <v>1377</v>
      </c>
      <c r="AR355" s="60">
        <v>72</v>
      </c>
      <c r="AS355" s="60">
        <v>144</v>
      </c>
    </row>
    <row r="356" spans="2:45" s="57" customFormat="1">
      <c r="B356" s="93" t="s">
        <v>1378</v>
      </c>
      <c r="C356" s="46" t="s">
        <v>1374</v>
      </c>
      <c r="D356" s="46" t="s">
        <v>291</v>
      </c>
      <c r="E356" s="46" t="s">
        <v>68</v>
      </c>
      <c r="F356" s="46" t="s">
        <v>1379</v>
      </c>
      <c r="G356" s="61">
        <v>10</v>
      </c>
      <c r="H356" s="48">
        <f>ROUND(O356*1.1,2)</f>
        <v>71.319999999999993</v>
      </c>
      <c r="I356" s="49">
        <f t="shared" si="54"/>
        <v>713.19999999999993</v>
      </c>
      <c r="J356" s="50">
        <v>0.23</v>
      </c>
      <c r="K356" s="51">
        <f t="shared" si="59"/>
        <v>164.03599999999994</v>
      </c>
      <c r="L356" s="51">
        <f t="shared" si="64"/>
        <v>877.23599999999988</v>
      </c>
      <c r="M356" s="52"/>
      <c r="N356" s="53" t="s">
        <v>50</v>
      </c>
      <c r="O356" s="52">
        <v>64.84</v>
      </c>
      <c r="P356" s="54" t="s">
        <v>64</v>
      </c>
      <c r="Q356" s="54">
        <f>34.25*2.5</f>
        <v>85.625</v>
      </c>
      <c r="R356" s="55"/>
      <c r="S356" s="54">
        <v>70</v>
      </c>
      <c r="T356" s="56">
        <f t="shared" si="60"/>
        <v>700</v>
      </c>
      <c r="U356" s="52"/>
      <c r="V356" s="52"/>
      <c r="W356" s="52"/>
      <c r="X356" s="52"/>
      <c r="Y356" s="52"/>
      <c r="Z356" s="52"/>
      <c r="AA356" s="52"/>
      <c r="AB356" s="52"/>
      <c r="AC356" s="52"/>
      <c r="AI356" s="58"/>
      <c r="AQ356" s="59"/>
      <c r="AR356" s="60"/>
      <c r="AS356" s="60"/>
    </row>
    <row r="357" spans="2:45" s="57" customFormat="1">
      <c r="B357" s="93" t="s">
        <v>1380</v>
      </c>
      <c r="C357" s="46" t="s">
        <v>1381</v>
      </c>
      <c r="D357" s="46" t="s">
        <v>205</v>
      </c>
      <c r="E357" s="46" t="s">
        <v>56</v>
      </c>
      <c r="F357" s="46" t="s">
        <v>1382</v>
      </c>
      <c r="G357" s="61">
        <v>2</v>
      </c>
      <c r="H357" s="48">
        <f t="shared" si="63"/>
        <v>35.79</v>
      </c>
      <c r="I357" s="49">
        <f t="shared" ref="I357:I412" si="68">H357*G357</f>
        <v>71.58</v>
      </c>
      <c r="J357" s="50">
        <v>0.23</v>
      </c>
      <c r="K357" s="51">
        <f t="shared" si="59"/>
        <v>16.463399999999993</v>
      </c>
      <c r="L357" s="51">
        <f t="shared" si="64"/>
        <v>88.043399999999991</v>
      </c>
      <c r="M357" s="52"/>
      <c r="N357" s="53" t="s">
        <v>50</v>
      </c>
      <c r="O357" s="52">
        <v>23.86</v>
      </c>
      <c r="P357" s="54" t="s">
        <v>64</v>
      </c>
      <c r="Q357" s="54">
        <v>26.72</v>
      </c>
      <c r="R357" s="55">
        <v>1</v>
      </c>
      <c r="S357" s="54">
        <v>26</v>
      </c>
      <c r="T357" s="56">
        <f t="shared" si="60"/>
        <v>52</v>
      </c>
      <c r="U357" s="52">
        <v>2</v>
      </c>
      <c r="V357" s="52">
        <v>16.899999999999999</v>
      </c>
      <c r="W357" s="52">
        <f t="shared" ref="W357:W388" si="69">ROUND(AH357*1.3,2)</f>
        <v>16.899999999999999</v>
      </c>
      <c r="X357" s="52">
        <f t="shared" si="66"/>
        <v>33.799999999999997</v>
      </c>
      <c r="Y357" s="52"/>
      <c r="Z357" s="52">
        <v>21.6</v>
      </c>
      <c r="AA357" s="52">
        <f t="shared" si="67"/>
        <v>43.2</v>
      </c>
      <c r="AB357" s="52"/>
      <c r="AC357" s="52"/>
      <c r="AE357" s="57" t="s">
        <v>52</v>
      </c>
      <c r="AH357" s="57">
        <v>13</v>
      </c>
      <c r="AI357" s="58"/>
      <c r="AK357" s="57">
        <f t="shared" si="58"/>
        <v>26</v>
      </c>
      <c r="AQ357" s="59">
        <v>0</v>
      </c>
      <c r="AR357" s="59">
        <v>0</v>
      </c>
      <c r="AS357" s="60">
        <v>0</v>
      </c>
    </row>
    <row r="358" spans="2:45" s="57" customFormat="1">
      <c r="B358" s="93" t="s">
        <v>1383</v>
      </c>
      <c r="C358" s="46" t="s">
        <v>1384</v>
      </c>
      <c r="D358" s="66" t="s">
        <v>191</v>
      </c>
      <c r="E358" s="46" t="s">
        <v>88</v>
      </c>
      <c r="F358" s="46" t="s">
        <v>1385</v>
      </c>
      <c r="G358" s="67">
        <v>2</v>
      </c>
      <c r="H358" s="48">
        <f t="shared" si="63"/>
        <v>315</v>
      </c>
      <c r="I358" s="49">
        <f t="shared" si="68"/>
        <v>630</v>
      </c>
      <c r="J358" s="50">
        <v>0.23</v>
      </c>
      <c r="K358" s="51">
        <f t="shared" si="59"/>
        <v>144.89999999999998</v>
      </c>
      <c r="L358" s="51">
        <f t="shared" si="64"/>
        <v>774.9</v>
      </c>
      <c r="M358" s="52"/>
      <c r="N358" s="53" t="s">
        <v>1386</v>
      </c>
      <c r="O358" s="52">
        <v>210</v>
      </c>
      <c r="P358" s="54"/>
      <c r="Q358" s="54"/>
      <c r="R358" s="55">
        <v>1</v>
      </c>
      <c r="S358" s="54">
        <v>230</v>
      </c>
      <c r="T358" s="56">
        <f t="shared" si="60"/>
        <v>460</v>
      </c>
      <c r="U358" s="52">
        <v>2</v>
      </c>
      <c r="V358" s="52">
        <v>283.45</v>
      </c>
      <c r="W358" s="52">
        <f t="shared" si="69"/>
        <v>283.45</v>
      </c>
      <c r="X358" s="52">
        <f t="shared" si="66"/>
        <v>566.9</v>
      </c>
      <c r="Y358" s="52"/>
      <c r="Z358" s="52">
        <v>265.12</v>
      </c>
      <c r="AA358" s="52">
        <f t="shared" si="67"/>
        <v>530.24</v>
      </c>
      <c r="AB358" s="52"/>
      <c r="AC358" s="52"/>
      <c r="AE358" s="57" t="s">
        <v>1386</v>
      </c>
      <c r="AF358" s="57">
        <f>58.3*4.4</f>
        <v>256.52</v>
      </c>
      <c r="AH358" s="57">
        <f>AF358*0.85</f>
        <v>218.04199999999997</v>
      </c>
      <c r="AI358" s="58">
        <v>1</v>
      </c>
      <c r="AK358" s="57">
        <f t="shared" si="58"/>
        <v>436.08399999999995</v>
      </c>
      <c r="AQ358" s="59" t="s">
        <v>1387</v>
      </c>
      <c r="AR358" s="60">
        <v>382.97399999999999</v>
      </c>
      <c r="AS358" s="60">
        <v>382.97399999999999</v>
      </c>
    </row>
    <row r="359" spans="2:45" s="57" customFormat="1">
      <c r="B359" s="93" t="s">
        <v>1388</v>
      </c>
      <c r="C359" s="46" t="s">
        <v>1389</v>
      </c>
      <c r="D359" s="66" t="s">
        <v>47</v>
      </c>
      <c r="E359" s="46" t="s">
        <v>107</v>
      </c>
      <c r="F359" s="46"/>
      <c r="G359" s="67">
        <v>30</v>
      </c>
      <c r="H359" s="48">
        <f t="shared" si="63"/>
        <v>12.75</v>
      </c>
      <c r="I359" s="49">
        <f t="shared" si="68"/>
        <v>382.5</v>
      </c>
      <c r="J359" s="50">
        <v>0.23</v>
      </c>
      <c r="K359" s="51">
        <f t="shared" si="59"/>
        <v>87.975000000000023</v>
      </c>
      <c r="L359" s="51">
        <f t="shared" si="64"/>
        <v>470.47500000000002</v>
      </c>
      <c r="M359" s="52"/>
      <c r="N359" s="53" t="s">
        <v>1390</v>
      </c>
      <c r="O359" s="52">
        <v>8.5</v>
      </c>
      <c r="P359" s="54"/>
      <c r="Q359" s="54"/>
      <c r="R359" s="55">
        <v>24</v>
      </c>
      <c r="S359" s="54">
        <v>9.3000000000000007</v>
      </c>
      <c r="T359" s="56">
        <f t="shared" si="60"/>
        <v>279</v>
      </c>
      <c r="U359" s="52">
        <v>30</v>
      </c>
      <c r="V359" s="52">
        <v>11.05</v>
      </c>
      <c r="W359" s="52">
        <f t="shared" si="69"/>
        <v>11.05</v>
      </c>
      <c r="X359" s="52">
        <f t="shared" si="66"/>
        <v>331.5</v>
      </c>
      <c r="Y359" s="52"/>
      <c r="Z359" s="52">
        <v>9</v>
      </c>
      <c r="AA359" s="52">
        <f t="shared" si="67"/>
        <v>270</v>
      </c>
      <c r="AB359" s="52"/>
      <c r="AC359" s="52"/>
      <c r="AE359" s="57" t="s">
        <v>1391</v>
      </c>
      <c r="AH359" s="57">
        <v>8.5</v>
      </c>
      <c r="AI359" s="58">
        <v>20</v>
      </c>
      <c r="AK359" s="57">
        <f t="shared" si="58"/>
        <v>255</v>
      </c>
      <c r="AQ359" s="59">
        <v>0</v>
      </c>
      <c r="AR359" s="59">
        <v>0</v>
      </c>
      <c r="AS359" s="60">
        <v>0</v>
      </c>
    </row>
    <row r="360" spans="2:45" s="57" customFormat="1" ht="22.5">
      <c r="B360" s="93" t="s">
        <v>1392</v>
      </c>
      <c r="C360" s="46" t="s">
        <v>1393</v>
      </c>
      <c r="D360" s="46" t="s">
        <v>112</v>
      </c>
      <c r="E360" s="46" t="s">
        <v>56</v>
      </c>
      <c r="F360" s="64" t="s">
        <v>1394</v>
      </c>
      <c r="G360" s="47">
        <v>6</v>
      </c>
      <c r="H360" s="48">
        <f t="shared" si="63"/>
        <v>64.290000000000006</v>
      </c>
      <c r="I360" s="49">
        <f t="shared" si="68"/>
        <v>385.74</v>
      </c>
      <c r="J360" s="50">
        <v>0.23</v>
      </c>
      <c r="K360" s="51">
        <f t="shared" si="59"/>
        <v>88.720199999999977</v>
      </c>
      <c r="L360" s="51">
        <f t="shared" si="64"/>
        <v>474.46019999999999</v>
      </c>
      <c r="M360" s="52" t="s">
        <v>1395</v>
      </c>
      <c r="N360" s="92" t="s">
        <v>114</v>
      </c>
      <c r="O360" s="109">
        <v>42.86</v>
      </c>
      <c r="P360" s="54" t="s">
        <v>24</v>
      </c>
      <c r="Q360" s="54"/>
      <c r="R360" s="55">
        <v>5</v>
      </c>
      <c r="S360" s="54">
        <v>46</v>
      </c>
      <c r="T360" s="56">
        <f t="shared" si="60"/>
        <v>276</v>
      </c>
      <c r="U360" s="52">
        <v>6</v>
      </c>
      <c r="V360" s="52">
        <v>17.21</v>
      </c>
      <c r="W360" s="52">
        <f t="shared" si="69"/>
        <v>17.21</v>
      </c>
      <c r="X360" s="52">
        <f t="shared" si="66"/>
        <v>103.26</v>
      </c>
      <c r="Y360" s="52"/>
      <c r="Z360" s="52">
        <v>50.4</v>
      </c>
      <c r="AA360" s="52">
        <f t="shared" si="67"/>
        <v>302.39999999999998</v>
      </c>
      <c r="AB360" s="52"/>
      <c r="AC360" s="52"/>
      <c r="AE360" s="57" t="s">
        <v>52</v>
      </c>
      <c r="AH360" s="57">
        <v>13.24</v>
      </c>
      <c r="AI360" s="58">
        <v>4</v>
      </c>
      <c r="AK360" s="57">
        <f t="shared" si="58"/>
        <v>79.44</v>
      </c>
      <c r="AP360" s="57">
        <v>2</v>
      </c>
      <c r="AQ360" s="59">
        <v>0</v>
      </c>
      <c r="AR360" s="59">
        <v>0</v>
      </c>
      <c r="AS360" s="60">
        <v>0</v>
      </c>
    </row>
    <row r="361" spans="2:45" s="57" customFormat="1">
      <c r="B361" s="93" t="s">
        <v>1396</v>
      </c>
      <c r="C361" s="46" t="s">
        <v>1397</v>
      </c>
      <c r="D361" s="46" t="s">
        <v>112</v>
      </c>
      <c r="E361" s="46" t="s">
        <v>56</v>
      </c>
      <c r="F361" s="64" t="s">
        <v>1398</v>
      </c>
      <c r="G361" s="47">
        <v>4</v>
      </c>
      <c r="H361" s="48">
        <f t="shared" si="63"/>
        <v>93.87</v>
      </c>
      <c r="I361" s="49">
        <f t="shared" si="68"/>
        <v>375.48</v>
      </c>
      <c r="J361" s="50">
        <v>0.23</v>
      </c>
      <c r="K361" s="51">
        <f t="shared" si="59"/>
        <v>86.360400000000027</v>
      </c>
      <c r="L361" s="51">
        <f t="shared" si="64"/>
        <v>461.84040000000005</v>
      </c>
      <c r="M361" s="52" t="s">
        <v>1399</v>
      </c>
      <c r="N361" s="53" t="s">
        <v>50</v>
      </c>
      <c r="O361" s="52">
        <v>62.58</v>
      </c>
      <c r="P361" s="54" t="s">
        <v>64</v>
      </c>
      <c r="Q361" s="54">
        <v>28.52</v>
      </c>
      <c r="R361" s="55">
        <v>1</v>
      </c>
      <c r="S361" s="54">
        <v>31</v>
      </c>
      <c r="T361" s="56">
        <f t="shared" si="60"/>
        <v>124</v>
      </c>
      <c r="U361" s="52">
        <v>8</v>
      </c>
      <c r="V361" s="52">
        <v>67.849999999999994</v>
      </c>
      <c r="W361" s="52">
        <f t="shared" si="69"/>
        <v>67.849999999999994</v>
      </c>
      <c r="X361" s="52">
        <f t="shared" si="66"/>
        <v>271.39999999999998</v>
      </c>
      <c r="Y361" s="52"/>
      <c r="Z361" s="52">
        <v>65.77</v>
      </c>
      <c r="AA361" s="52">
        <f t="shared" si="67"/>
        <v>263.08</v>
      </c>
      <c r="AB361" s="52"/>
      <c r="AC361" s="52"/>
      <c r="AE361" s="57" t="s">
        <v>52</v>
      </c>
      <c r="AH361" s="57">
        <v>52.19</v>
      </c>
      <c r="AI361" s="58">
        <v>6</v>
      </c>
      <c r="AK361" s="57">
        <f t="shared" si="58"/>
        <v>208.76</v>
      </c>
      <c r="AP361" s="57">
        <v>6</v>
      </c>
      <c r="AQ361" s="59" t="s">
        <v>1400</v>
      </c>
      <c r="AR361" s="60">
        <v>40.5</v>
      </c>
      <c r="AS361" s="60">
        <v>16200</v>
      </c>
    </row>
    <row r="362" spans="2:45" s="57" customFormat="1" ht="22.5">
      <c r="B362" s="93" t="s">
        <v>1401</v>
      </c>
      <c r="C362" s="46" t="s">
        <v>1402</v>
      </c>
      <c r="D362" s="46" t="s">
        <v>112</v>
      </c>
      <c r="E362" s="46"/>
      <c r="F362" s="46" t="s">
        <v>1403</v>
      </c>
      <c r="G362" s="61">
        <v>6</v>
      </c>
      <c r="H362" s="48">
        <f t="shared" si="63"/>
        <v>37.04</v>
      </c>
      <c r="I362" s="49">
        <f t="shared" si="68"/>
        <v>222.24</v>
      </c>
      <c r="J362" s="50">
        <v>0.23</v>
      </c>
      <c r="K362" s="51">
        <f t="shared" si="59"/>
        <v>51.115200000000016</v>
      </c>
      <c r="L362" s="51">
        <f t="shared" si="64"/>
        <v>273.35520000000002</v>
      </c>
      <c r="M362" s="52"/>
      <c r="N362" s="53" t="s">
        <v>114</v>
      </c>
      <c r="O362" s="52">
        <v>24.69</v>
      </c>
      <c r="P362" s="54" t="s">
        <v>24</v>
      </c>
      <c r="Q362" s="54"/>
      <c r="R362" s="55"/>
      <c r="S362" s="54">
        <v>27</v>
      </c>
      <c r="T362" s="56">
        <f t="shared" si="60"/>
        <v>162</v>
      </c>
      <c r="U362" s="52">
        <v>6</v>
      </c>
      <c r="V362" s="52">
        <v>32.1</v>
      </c>
      <c r="W362" s="52">
        <f t="shared" si="69"/>
        <v>32.1</v>
      </c>
      <c r="X362" s="52">
        <f t="shared" si="66"/>
        <v>192.60000000000002</v>
      </c>
      <c r="Y362" s="52"/>
      <c r="Z362" s="52">
        <v>25.8</v>
      </c>
      <c r="AA362" s="52">
        <f t="shared" si="67"/>
        <v>154.80000000000001</v>
      </c>
      <c r="AB362" s="52"/>
      <c r="AC362" s="52"/>
      <c r="AE362" s="57" t="s">
        <v>115</v>
      </c>
      <c r="AF362" s="57">
        <v>32.49</v>
      </c>
      <c r="AH362" s="57">
        <v>24.69</v>
      </c>
      <c r="AI362" s="58">
        <v>7</v>
      </c>
      <c r="AJ362" s="57">
        <v>22.5</v>
      </c>
      <c r="AK362" s="57">
        <f>AJ362*G362</f>
        <v>135</v>
      </c>
      <c r="AQ362" s="59" t="s">
        <v>1404</v>
      </c>
      <c r="AR362" s="60">
        <v>572.51799999999992</v>
      </c>
      <c r="AS362" s="60">
        <v>5725.1799999999994</v>
      </c>
    </row>
    <row r="363" spans="2:45" s="57" customFormat="1">
      <c r="B363" s="93" t="s">
        <v>1405</v>
      </c>
      <c r="C363" s="64" t="s">
        <v>1406</v>
      </c>
      <c r="D363" s="64" t="s">
        <v>112</v>
      </c>
      <c r="E363" s="64" t="s">
        <v>56</v>
      </c>
      <c r="F363" s="64" t="s">
        <v>1407</v>
      </c>
      <c r="G363" s="47">
        <v>2</v>
      </c>
      <c r="H363" s="65">
        <f t="shared" si="63"/>
        <v>73.98</v>
      </c>
      <c r="I363" s="49">
        <f t="shared" si="68"/>
        <v>147.96</v>
      </c>
      <c r="J363" s="50">
        <v>0.23</v>
      </c>
      <c r="K363" s="51">
        <f t="shared" si="59"/>
        <v>34.030799999999999</v>
      </c>
      <c r="L363" s="51">
        <f t="shared" si="64"/>
        <v>181.99080000000001</v>
      </c>
      <c r="M363" s="52"/>
      <c r="N363" s="53" t="s">
        <v>50</v>
      </c>
      <c r="O363" s="52">
        <v>49.32</v>
      </c>
      <c r="P363" s="54" t="s">
        <v>64</v>
      </c>
      <c r="Q363" s="54"/>
      <c r="R363" s="55">
        <v>13</v>
      </c>
      <c r="S363" s="54">
        <v>55</v>
      </c>
      <c r="T363" s="56">
        <f t="shared" si="60"/>
        <v>110</v>
      </c>
      <c r="U363" s="52">
        <v>2</v>
      </c>
      <c r="V363" s="52">
        <v>53.48</v>
      </c>
      <c r="W363" s="52">
        <f t="shared" si="69"/>
        <v>53.48</v>
      </c>
      <c r="X363" s="52">
        <f t="shared" si="66"/>
        <v>106.96</v>
      </c>
      <c r="Y363" s="52"/>
      <c r="Z363" s="52">
        <v>42.95</v>
      </c>
      <c r="AA363" s="52">
        <f t="shared" si="67"/>
        <v>85.9</v>
      </c>
      <c r="AB363" s="52"/>
      <c r="AC363" s="52"/>
      <c r="AE363" s="57" t="s">
        <v>52</v>
      </c>
      <c r="AH363" s="57">
        <v>41.14</v>
      </c>
      <c r="AI363" s="58">
        <v>0</v>
      </c>
      <c r="AK363" s="57">
        <f t="shared" ref="AK363:AK379" si="70">AH363*G363</f>
        <v>82.28</v>
      </c>
      <c r="AQ363" s="59" t="s">
        <v>1408</v>
      </c>
      <c r="AR363" s="60">
        <v>279.89350000000002</v>
      </c>
      <c r="AS363" s="60">
        <v>2798.9350000000004</v>
      </c>
    </row>
    <row r="364" spans="2:45" s="57" customFormat="1" ht="22.5">
      <c r="B364" s="93" t="s">
        <v>1409</v>
      </c>
      <c r="C364" s="93" t="s">
        <v>1397</v>
      </c>
      <c r="D364" s="93" t="s">
        <v>112</v>
      </c>
      <c r="E364" s="93" t="s">
        <v>440</v>
      </c>
      <c r="F364" s="93" t="s">
        <v>1410</v>
      </c>
      <c r="G364" s="110">
        <v>2</v>
      </c>
      <c r="H364" s="65">
        <f t="shared" si="63"/>
        <v>35.03</v>
      </c>
      <c r="I364" s="49">
        <f t="shared" si="68"/>
        <v>70.06</v>
      </c>
      <c r="J364" s="50">
        <v>0.23</v>
      </c>
      <c r="K364" s="51">
        <f t="shared" si="59"/>
        <v>16.113799999999998</v>
      </c>
      <c r="L364" s="51">
        <f t="shared" si="64"/>
        <v>86.1738</v>
      </c>
      <c r="M364" s="52"/>
      <c r="N364" s="53" t="s">
        <v>114</v>
      </c>
      <c r="O364" s="52">
        <v>23.35</v>
      </c>
      <c r="P364" s="54" t="s">
        <v>24</v>
      </c>
      <c r="Q364" s="54"/>
      <c r="R364" s="55"/>
      <c r="S364" s="54">
        <v>23</v>
      </c>
      <c r="T364" s="56">
        <f t="shared" si="60"/>
        <v>46</v>
      </c>
      <c r="U364" s="52"/>
      <c r="V364" s="52"/>
      <c r="W364" s="52"/>
      <c r="X364" s="52"/>
      <c r="Y364" s="52"/>
      <c r="Z364" s="52"/>
      <c r="AA364" s="52"/>
      <c r="AB364" s="52"/>
      <c r="AC364" s="52"/>
      <c r="AI364" s="58"/>
      <c r="AQ364" s="59"/>
      <c r="AR364" s="60"/>
      <c r="AS364" s="60"/>
    </row>
    <row r="365" spans="2:45" s="57" customFormat="1" ht="22.5">
      <c r="B365" s="93" t="s">
        <v>1411</v>
      </c>
      <c r="C365" s="111" t="s">
        <v>1412</v>
      </c>
      <c r="D365" s="111" t="s">
        <v>253</v>
      </c>
      <c r="E365" s="111" t="s">
        <v>107</v>
      </c>
      <c r="F365" s="111" t="s">
        <v>1413</v>
      </c>
      <c r="G365" s="112">
        <v>5</v>
      </c>
      <c r="H365" s="104">
        <v>385</v>
      </c>
      <c r="I365" s="105">
        <f t="shared" si="68"/>
        <v>1925</v>
      </c>
      <c r="J365" s="106">
        <v>0.23</v>
      </c>
      <c r="K365" s="107">
        <f t="shared" si="59"/>
        <v>442.75</v>
      </c>
      <c r="L365" s="107">
        <f t="shared" si="64"/>
        <v>2367.75</v>
      </c>
      <c r="M365" s="52"/>
      <c r="N365" s="53" t="s">
        <v>1414</v>
      </c>
      <c r="O365" s="52">
        <v>813.56</v>
      </c>
      <c r="P365" s="54"/>
      <c r="Q365" s="54"/>
      <c r="R365" s="55"/>
      <c r="S365" s="54">
        <v>700</v>
      </c>
      <c r="T365" s="56">
        <f t="shared" si="60"/>
        <v>3500</v>
      </c>
      <c r="U365" s="52">
        <v>5</v>
      </c>
      <c r="V365" s="52">
        <v>369.8</v>
      </c>
      <c r="W365" s="52">
        <f>ROUND(AH365*0.5,2)</f>
        <v>369.8</v>
      </c>
      <c r="X365" s="52">
        <f t="shared" si="66"/>
        <v>1849</v>
      </c>
      <c r="Y365" s="52" t="s">
        <v>1415</v>
      </c>
      <c r="Z365" s="52">
        <v>948</v>
      </c>
      <c r="AA365" s="52">
        <f t="shared" si="67"/>
        <v>4740</v>
      </c>
      <c r="AB365" s="52"/>
      <c r="AC365" s="52" t="s">
        <v>239</v>
      </c>
      <c r="AE365" s="57">
        <v>2015</v>
      </c>
      <c r="AF365" s="57">
        <v>813.56000000000006</v>
      </c>
      <c r="AH365" s="57">
        <v>739.6</v>
      </c>
      <c r="AI365" s="58">
        <v>0</v>
      </c>
      <c r="AK365" s="57">
        <f t="shared" si="70"/>
        <v>3698</v>
      </c>
      <c r="AQ365" s="59" t="s">
        <v>1416</v>
      </c>
      <c r="AR365" s="60">
        <v>182.3665</v>
      </c>
      <c r="AS365" s="60">
        <v>911.83249999999998</v>
      </c>
    </row>
    <row r="366" spans="2:45" s="57" customFormat="1">
      <c r="B366" s="93" t="s">
        <v>1417</v>
      </c>
      <c r="C366" s="64" t="s">
        <v>1418</v>
      </c>
      <c r="D366" s="64" t="s">
        <v>112</v>
      </c>
      <c r="E366" s="64" t="s">
        <v>56</v>
      </c>
      <c r="F366" s="64" t="s">
        <v>1419</v>
      </c>
      <c r="G366" s="47">
        <v>2</v>
      </c>
      <c r="H366" s="65">
        <f>ROUND(O366*1.1,2)</f>
        <v>66.040000000000006</v>
      </c>
      <c r="I366" s="49">
        <f t="shared" si="68"/>
        <v>132.08000000000001</v>
      </c>
      <c r="J366" s="50">
        <v>0.23</v>
      </c>
      <c r="K366" s="51">
        <f t="shared" si="59"/>
        <v>30.378399999999999</v>
      </c>
      <c r="L366" s="51">
        <f t="shared" si="64"/>
        <v>162.45840000000001</v>
      </c>
      <c r="M366" s="52"/>
      <c r="N366" s="53" t="s">
        <v>50</v>
      </c>
      <c r="O366" s="52">
        <v>60.04</v>
      </c>
      <c r="P366" s="54" t="s">
        <v>64</v>
      </c>
      <c r="Q366" s="54">
        <v>29.26</v>
      </c>
      <c r="R366" s="55"/>
      <c r="S366" s="54">
        <v>33</v>
      </c>
      <c r="T366" s="56">
        <f t="shared" si="60"/>
        <v>66</v>
      </c>
      <c r="U366" s="52">
        <v>2</v>
      </c>
      <c r="V366" s="52">
        <v>38</v>
      </c>
      <c r="W366" s="52">
        <v>38</v>
      </c>
      <c r="X366" s="52">
        <f t="shared" si="66"/>
        <v>76</v>
      </c>
      <c r="Y366" s="52" t="s">
        <v>1017</v>
      </c>
      <c r="Z366" s="52">
        <v>61.14</v>
      </c>
      <c r="AA366" s="52">
        <f t="shared" si="67"/>
        <v>122.28</v>
      </c>
      <c r="AB366" s="52"/>
      <c r="AC366" s="52"/>
      <c r="AD366" s="57" t="s">
        <v>764</v>
      </c>
      <c r="AE366" s="57" t="s">
        <v>52</v>
      </c>
      <c r="AH366" s="57">
        <v>76.239999999999995</v>
      </c>
      <c r="AI366" s="58">
        <v>0</v>
      </c>
      <c r="AK366" s="57">
        <f t="shared" si="70"/>
        <v>152.47999999999999</v>
      </c>
      <c r="AP366" s="57">
        <v>7</v>
      </c>
      <c r="AQ366" s="59" t="s">
        <v>1420</v>
      </c>
      <c r="AR366" s="60">
        <v>58.884499999999996</v>
      </c>
      <c r="AS366" s="60">
        <v>1766.5349999999999</v>
      </c>
    </row>
    <row r="367" spans="2:45" s="57" customFormat="1">
      <c r="B367" s="93" t="s">
        <v>1421</v>
      </c>
      <c r="C367" s="46" t="s">
        <v>1422</v>
      </c>
      <c r="D367" s="46" t="s">
        <v>112</v>
      </c>
      <c r="E367" s="46" t="s">
        <v>56</v>
      </c>
      <c r="F367" s="46" t="s">
        <v>1423</v>
      </c>
      <c r="G367" s="61">
        <v>1</v>
      </c>
      <c r="H367" s="48">
        <f t="shared" si="63"/>
        <v>159.53</v>
      </c>
      <c r="I367" s="49">
        <f t="shared" si="68"/>
        <v>159.53</v>
      </c>
      <c r="J367" s="50">
        <v>0.23</v>
      </c>
      <c r="K367" s="51">
        <f t="shared" si="59"/>
        <v>36.691900000000004</v>
      </c>
      <c r="L367" s="51">
        <f t="shared" si="64"/>
        <v>196.22190000000001</v>
      </c>
      <c r="M367" s="52"/>
      <c r="N367" s="53" t="s">
        <v>50</v>
      </c>
      <c r="O367" s="52">
        <v>106.35</v>
      </c>
      <c r="P367" s="54" t="s">
        <v>64</v>
      </c>
      <c r="Q367" s="54">
        <v>44.35</v>
      </c>
      <c r="R367" s="55"/>
      <c r="S367" s="54">
        <v>48</v>
      </c>
      <c r="T367" s="56">
        <f t="shared" si="60"/>
        <v>48</v>
      </c>
      <c r="U367" s="52">
        <v>1</v>
      </c>
      <c r="V367" s="52">
        <v>115.31</v>
      </c>
      <c r="W367" s="52">
        <f t="shared" si="69"/>
        <v>115.31</v>
      </c>
      <c r="X367" s="52">
        <f t="shared" si="66"/>
        <v>115.31</v>
      </c>
      <c r="Y367" s="52"/>
      <c r="Z367" s="52">
        <v>114</v>
      </c>
      <c r="AA367" s="52">
        <f t="shared" si="67"/>
        <v>114</v>
      </c>
      <c r="AB367" s="52"/>
      <c r="AC367" s="52"/>
      <c r="AE367" s="57" t="s">
        <v>52</v>
      </c>
      <c r="AH367" s="57">
        <v>88.7</v>
      </c>
      <c r="AI367" s="58">
        <v>0</v>
      </c>
      <c r="AK367" s="57">
        <f t="shared" si="70"/>
        <v>88.7</v>
      </c>
      <c r="AQ367" s="59" t="s">
        <v>1424</v>
      </c>
      <c r="AR367" s="60">
        <v>703.87350000000004</v>
      </c>
      <c r="AS367" s="60">
        <v>1407.7470000000001</v>
      </c>
    </row>
    <row r="368" spans="2:45" s="57" customFormat="1" ht="22.5">
      <c r="B368" s="93" t="s">
        <v>1425</v>
      </c>
      <c r="C368" s="46" t="s">
        <v>1426</v>
      </c>
      <c r="D368" s="46" t="s">
        <v>132</v>
      </c>
      <c r="E368" s="46" t="s">
        <v>56</v>
      </c>
      <c r="F368" s="46" t="s">
        <v>1427</v>
      </c>
      <c r="G368" s="61">
        <v>2</v>
      </c>
      <c r="H368" s="48">
        <f t="shared" si="63"/>
        <v>33.65</v>
      </c>
      <c r="I368" s="49">
        <f t="shared" si="68"/>
        <v>67.3</v>
      </c>
      <c r="J368" s="50">
        <v>0.23</v>
      </c>
      <c r="K368" s="51">
        <f t="shared" si="59"/>
        <v>15.478999999999999</v>
      </c>
      <c r="L368" s="51">
        <f t="shared" si="64"/>
        <v>82.778999999999996</v>
      </c>
      <c r="M368" s="52"/>
      <c r="N368" s="53" t="s">
        <v>114</v>
      </c>
      <c r="O368" s="52">
        <v>22.43</v>
      </c>
      <c r="P368" s="54" t="s">
        <v>24</v>
      </c>
      <c r="Q368" s="54"/>
      <c r="R368" s="55">
        <v>1</v>
      </c>
      <c r="S368" s="54">
        <v>24</v>
      </c>
      <c r="T368" s="56">
        <f t="shared" si="60"/>
        <v>48</v>
      </c>
      <c r="U368" s="52">
        <v>2</v>
      </c>
      <c r="V368" s="52">
        <v>29.16</v>
      </c>
      <c r="W368" s="52">
        <f t="shared" si="69"/>
        <v>29.16</v>
      </c>
      <c r="X368" s="52">
        <f t="shared" si="66"/>
        <v>58.32</v>
      </c>
      <c r="Y368" s="52"/>
      <c r="Z368" s="52">
        <v>31.21</v>
      </c>
      <c r="AA368" s="52">
        <f t="shared" si="67"/>
        <v>62.42</v>
      </c>
      <c r="AB368" s="52"/>
      <c r="AC368" s="52"/>
      <c r="AE368" s="57" t="s">
        <v>115</v>
      </c>
      <c r="AF368" s="57">
        <v>29.51</v>
      </c>
      <c r="AH368" s="57">
        <v>22.43</v>
      </c>
      <c r="AI368" s="58">
        <v>0</v>
      </c>
      <c r="AK368" s="57">
        <f t="shared" si="70"/>
        <v>44.86</v>
      </c>
      <c r="AP368" s="57">
        <v>1</v>
      </c>
      <c r="AQ368" s="59" t="s">
        <v>1428</v>
      </c>
      <c r="AR368" s="60">
        <v>332.45600000000002</v>
      </c>
      <c r="AS368" s="60">
        <v>1329.8240000000001</v>
      </c>
    </row>
    <row r="369" spans="2:45" s="57" customFormat="1">
      <c r="B369" s="93" t="s">
        <v>1429</v>
      </c>
      <c r="C369" s="46" t="s">
        <v>1430</v>
      </c>
      <c r="D369" s="46" t="s">
        <v>132</v>
      </c>
      <c r="E369" s="46" t="s">
        <v>56</v>
      </c>
      <c r="F369" s="46" t="s">
        <v>1431</v>
      </c>
      <c r="G369" s="61">
        <v>1</v>
      </c>
      <c r="H369" s="48">
        <f t="shared" si="63"/>
        <v>140.76</v>
      </c>
      <c r="I369" s="49">
        <f t="shared" si="68"/>
        <v>140.76</v>
      </c>
      <c r="J369" s="50">
        <v>0.23</v>
      </c>
      <c r="K369" s="51">
        <f t="shared" si="59"/>
        <v>32.374799999999993</v>
      </c>
      <c r="L369" s="51">
        <f t="shared" si="64"/>
        <v>173.13479999999998</v>
      </c>
      <c r="M369" s="52"/>
      <c r="N369" s="53" t="s">
        <v>50</v>
      </c>
      <c r="O369" s="52">
        <v>93.84</v>
      </c>
      <c r="P369" s="54" t="s">
        <v>24</v>
      </c>
      <c r="Q369" s="54">
        <v>39.369999999999997</v>
      </c>
      <c r="R369" s="55"/>
      <c r="S369" s="54">
        <v>44</v>
      </c>
      <c r="T369" s="56">
        <f t="shared" si="60"/>
        <v>44</v>
      </c>
      <c r="U369" s="52">
        <v>1</v>
      </c>
      <c r="V369" s="52">
        <v>91</v>
      </c>
      <c r="W369" s="52">
        <f t="shared" si="69"/>
        <v>91</v>
      </c>
      <c r="X369" s="52">
        <f t="shared" si="66"/>
        <v>91</v>
      </c>
      <c r="Y369" s="52"/>
      <c r="Z369" s="52">
        <v>93.11</v>
      </c>
      <c r="AA369" s="52">
        <f t="shared" si="67"/>
        <v>93.11</v>
      </c>
      <c r="AB369" s="52"/>
      <c r="AC369" s="52"/>
      <c r="AE369" s="57" t="s">
        <v>52</v>
      </c>
      <c r="AH369" s="57">
        <v>70</v>
      </c>
      <c r="AI369" s="58">
        <v>0</v>
      </c>
      <c r="AK369" s="57">
        <f t="shared" si="70"/>
        <v>70</v>
      </c>
      <c r="AQ369" s="59" t="s">
        <v>1432</v>
      </c>
      <c r="AR369" s="60">
        <v>71</v>
      </c>
      <c r="AS369" s="60">
        <v>710</v>
      </c>
    </row>
    <row r="370" spans="2:45" s="57" customFormat="1" ht="33.75">
      <c r="B370" s="93" t="s">
        <v>1433</v>
      </c>
      <c r="C370" s="46" t="s">
        <v>1434</v>
      </c>
      <c r="D370" s="66" t="s">
        <v>793</v>
      </c>
      <c r="E370" s="46" t="s">
        <v>107</v>
      </c>
      <c r="F370" s="46" t="s">
        <v>1435</v>
      </c>
      <c r="G370" s="67">
        <v>1</v>
      </c>
      <c r="H370" s="48">
        <f>ROUND(O370*1.1,2)</f>
        <v>316.45</v>
      </c>
      <c r="I370" s="49">
        <f t="shared" si="68"/>
        <v>316.45</v>
      </c>
      <c r="J370" s="50">
        <v>0.23</v>
      </c>
      <c r="K370" s="51">
        <f t="shared" si="59"/>
        <v>72.783500000000004</v>
      </c>
      <c r="L370" s="51">
        <f t="shared" si="64"/>
        <v>389.23349999999999</v>
      </c>
      <c r="M370" s="52" t="s">
        <v>294</v>
      </c>
      <c r="N370" s="53" t="s">
        <v>91</v>
      </c>
      <c r="O370" s="52">
        <v>287.68</v>
      </c>
      <c r="P370" s="54" t="s">
        <v>92</v>
      </c>
      <c r="Q370" s="54"/>
      <c r="R370" s="55">
        <v>1</v>
      </c>
      <c r="S370" s="54">
        <v>300</v>
      </c>
      <c r="T370" s="56">
        <f t="shared" si="60"/>
        <v>300</v>
      </c>
      <c r="U370" s="52">
        <v>1</v>
      </c>
      <c r="V370" s="52">
        <v>359.24</v>
      </c>
      <c r="W370" s="52">
        <f>ROUND(AH370*1.2,2)</f>
        <v>359.24</v>
      </c>
      <c r="X370" s="52">
        <f t="shared" si="66"/>
        <v>359.24</v>
      </c>
      <c r="Y370" s="52">
        <v>0.2</v>
      </c>
      <c r="Z370" s="52">
        <v>347.1</v>
      </c>
      <c r="AA370" s="52">
        <f t="shared" si="67"/>
        <v>347.1</v>
      </c>
      <c r="AB370" s="52"/>
      <c r="AC370" s="52"/>
      <c r="AE370" s="57" t="s">
        <v>93</v>
      </c>
      <c r="AF370" s="57">
        <v>352.2</v>
      </c>
      <c r="AG370" s="62">
        <v>0.15</v>
      </c>
      <c r="AH370" s="57">
        <v>299.37</v>
      </c>
      <c r="AI370" s="58">
        <v>0</v>
      </c>
      <c r="AK370" s="57">
        <f t="shared" si="70"/>
        <v>299.37</v>
      </c>
      <c r="AP370" s="57">
        <v>4</v>
      </c>
      <c r="AQ370" s="59" t="s">
        <v>1436</v>
      </c>
      <c r="AR370" s="60">
        <v>148</v>
      </c>
      <c r="AS370" s="60">
        <v>740</v>
      </c>
    </row>
    <row r="371" spans="2:45" s="57" customFormat="1">
      <c r="B371" s="93" t="s">
        <v>1437</v>
      </c>
      <c r="C371" s="46" t="s">
        <v>1438</v>
      </c>
      <c r="D371" s="46" t="s">
        <v>132</v>
      </c>
      <c r="E371" s="46" t="s">
        <v>56</v>
      </c>
      <c r="F371" s="46" t="s">
        <v>1439</v>
      </c>
      <c r="G371" s="61">
        <v>2</v>
      </c>
      <c r="H371" s="48">
        <f t="shared" si="63"/>
        <v>66.38</v>
      </c>
      <c r="I371" s="49">
        <f t="shared" si="68"/>
        <v>132.76</v>
      </c>
      <c r="J371" s="50">
        <v>0.23</v>
      </c>
      <c r="K371" s="51">
        <f t="shared" si="59"/>
        <v>30.53479999999999</v>
      </c>
      <c r="L371" s="51">
        <f t="shared" si="64"/>
        <v>163.29479999999998</v>
      </c>
      <c r="M371" s="52"/>
      <c r="N371" s="53" t="s">
        <v>50</v>
      </c>
      <c r="O371" s="52">
        <v>44.25</v>
      </c>
      <c r="P371" s="54" t="s">
        <v>64</v>
      </c>
      <c r="Q371" s="54">
        <v>21.71</v>
      </c>
      <c r="R371" s="55">
        <v>3</v>
      </c>
      <c r="S371" s="54">
        <v>24</v>
      </c>
      <c r="T371" s="56">
        <f t="shared" si="60"/>
        <v>48</v>
      </c>
      <c r="U371" s="52">
        <v>2</v>
      </c>
      <c r="V371" s="52">
        <v>43.99</v>
      </c>
      <c r="W371" s="52">
        <f t="shared" si="69"/>
        <v>43.99</v>
      </c>
      <c r="X371" s="52">
        <f t="shared" si="66"/>
        <v>87.98</v>
      </c>
      <c r="Y371" s="52"/>
      <c r="Z371" s="52">
        <v>31.2</v>
      </c>
      <c r="AA371" s="52">
        <f t="shared" si="67"/>
        <v>62.4</v>
      </c>
      <c r="AB371" s="52"/>
      <c r="AC371" s="52"/>
      <c r="AE371" s="57" t="s">
        <v>52</v>
      </c>
      <c r="AH371" s="57">
        <v>33.840000000000003</v>
      </c>
      <c r="AI371" s="58">
        <v>0</v>
      </c>
      <c r="AK371" s="57">
        <f t="shared" si="70"/>
        <v>67.680000000000007</v>
      </c>
      <c r="AP371" s="57">
        <v>6</v>
      </c>
      <c r="AQ371" s="59">
        <v>0</v>
      </c>
      <c r="AR371" s="59">
        <v>0</v>
      </c>
      <c r="AS371" s="60">
        <v>0</v>
      </c>
    </row>
    <row r="372" spans="2:45" s="57" customFormat="1" ht="22.5">
      <c r="B372" s="93" t="s">
        <v>1440</v>
      </c>
      <c r="C372" s="46" t="s">
        <v>1441</v>
      </c>
      <c r="D372" s="46" t="s">
        <v>106</v>
      </c>
      <c r="E372" s="46" t="s">
        <v>107</v>
      </c>
      <c r="F372" s="46" t="s">
        <v>1442</v>
      </c>
      <c r="G372" s="61">
        <v>5</v>
      </c>
      <c r="H372" s="48">
        <f>ROUND(O372*1.2,2)</f>
        <v>40.57</v>
      </c>
      <c r="I372" s="49">
        <f t="shared" si="68"/>
        <v>202.85</v>
      </c>
      <c r="J372" s="50">
        <v>0.23</v>
      </c>
      <c r="K372" s="51">
        <f t="shared" si="59"/>
        <v>46.655499999999989</v>
      </c>
      <c r="L372" s="51">
        <f t="shared" si="64"/>
        <v>249.50549999999998</v>
      </c>
      <c r="M372" s="52" t="s">
        <v>1055</v>
      </c>
      <c r="N372" s="53" t="s">
        <v>50</v>
      </c>
      <c r="O372" s="52">
        <v>33.81</v>
      </c>
      <c r="P372" s="54" t="s">
        <v>64</v>
      </c>
      <c r="Q372" s="54">
        <v>8.8800000000000008</v>
      </c>
      <c r="R372" s="55"/>
      <c r="S372" s="54">
        <v>10</v>
      </c>
      <c r="T372" s="56">
        <f t="shared" si="60"/>
        <v>50</v>
      </c>
      <c r="U372" s="52">
        <v>5</v>
      </c>
      <c r="V372" s="52">
        <v>30.58</v>
      </c>
      <c r="W372" s="52">
        <f t="shared" si="69"/>
        <v>30.58</v>
      </c>
      <c r="X372" s="52">
        <f t="shared" si="66"/>
        <v>152.89999999999998</v>
      </c>
      <c r="Y372" s="52"/>
      <c r="Z372" s="52">
        <v>48</v>
      </c>
      <c r="AA372" s="52">
        <f t="shared" si="67"/>
        <v>240</v>
      </c>
      <c r="AB372" s="52"/>
      <c r="AC372" s="52"/>
      <c r="AE372" s="57" t="s">
        <v>52</v>
      </c>
      <c r="AH372" s="57">
        <v>23.52</v>
      </c>
      <c r="AI372" s="58">
        <v>0</v>
      </c>
      <c r="AK372" s="57">
        <f t="shared" si="70"/>
        <v>117.6</v>
      </c>
      <c r="AP372" s="57">
        <v>7</v>
      </c>
      <c r="AQ372" s="59">
        <v>0</v>
      </c>
      <c r="AR372" s="59">
        <v>0</v>
      </c>
      <c r="AS372" s="60">
        <v>0</v>
      </c>
    </row>
    <row r="373" spans="2:45" s="57" customFormat="1">
      <c r="B373" s="93" t="s">
        <v>1443</v>
      </c>
      <c r="C373" s="46" t="s">
        <v>1444</v>
      </c>
      <c r="D373" s="46" t="s">
        <v>112</v>
      </c>
      <c r="E373" s="46" t="s">
        <v>56</v>
      </c>
      <c r="F373" s="46" t="s">
        <v>1445</v>
      </c>
      <c r="G373" s="61">
        <v>2</v>
      </c>
      <c r="H373" s="48">
        <f t="shared" si="63"/>
        <v>86.58</v>
      </c>
      <c r="I373" s="49">
        <f t="shared" si="68"/>
        <v>173.16</v>
      </c>
      <c r="J373" s="50">
        <v>0.23</v>
      </c>
      <c r="K373" s="51">
        <f t="shared" si="59"/>
        <v>39.826799999999992</v>
      </c>
      <c r="L373" s="51">
        <f t="shared" si="64"/>
        <v>212.98679999999999</v>
      </c>
      <c r="M373" s="52"/>
      <c r="N373" s="53" t="s">
        <v>50</v>
      </c>
      <c r="O373" s="52">
        <v>57.72</v>
      </c>
      <c r="P373" s="54" t="s">
        <v>64</v>
      </c>
      <c r="Q373" s="54"/>
      <c r="R373" s="55">
        <v>4</v>
      </c>
      <c r="S373" s="54">
        <v>65</v>
      </c>
      <c r="T373" s="56">
        <f t="shared" si="60"/>
        <v>130</v>
      </c>
      <c r="U373" s="52">
        <v>2</v>
      </c>
      <c r="V373" s="52">
        <v>80.150000000000006</v>
      </c>
      <c r="W373" s="52">
        <f t="shared" si="69"/>
        <v>80.150000000000006</v>
      </c>
      <c r="X373" s="52">
        <f t="shared" si="66"/>
        <v>160.30000000000001</v>
      </c>
      <c r="Y373" s="52"/>
      <c r="Z373" s="52">
        <v>48.2</v>
      </c>
      <c r="AA373" s="52">
        <f t="shared" si="67"/>
        <v>96.4</v>
      </c>
      <c r="AB373" s="52"/>
      <c r="AC373" s="52"/>
      <c r="AE373" s="57" t="s">
        <v>52</v>
      </c>
      <c r="AH373" s="57">
        <v>61.65</v>
      </c>
      <c r="AI373" s="58">
        <v>0</v>
      </c>
      <c r="AK373" s="57">
        <f t="shared" si="70"/>
        <v>123.3</v>
      </c>
      <c r="AP373" s="57">
        <v>0</v>
      </c>
      <c r="AQ373" s="59">
        <v>0</v>
      </c>
      <c r="AR373" s="59">
        <v>0</v>
      </c>
      <c r="AS373" s="60">
        <v>0</v>
      </c>
    </row>
    <row r="374" spans="2:45" s="57" customFormat="1" ht="22.5">
      <c r="B374" s="93" t="s">
        <v>1446</v>
      </c>
      <c r="C374" s="46" t="s">
        <v>1447</v>
      </c>
      <c r="D374" s="66" t="s">
        <v>1448</v>
      </c>
      <c r="E374" s="46" t="s">
        <v>107</v>
      </c>
      <c r="F374" s="46" t="s">
        <v>1449</v>
      </c>
      <c r="G374" s="67">
        <v>2</v>
      </c>
      <c r="H374" s="48">
        <f t="shared" si="63"/>
        <v>34.880000000000003</v>
      </c>
      <c r="I374" s="49">
        <f t="shared" si="68"/>
        <v>69.760000000000005</v>
      </c>
      <c r="J374" s="50">
        <v>0.23</v>
      </c>
      <c r="K374" s="51">
        <f t="shared" si="59"/>
        <v>16.044799999999995</v>
      </c>
      <c r="L374" s="51">
        <f t="shared" si="64"/>
        <v>85.8048</v>
      </c>
      <c r="M374" s="52"/>
      <c r="N374" s="53" t="s">
        <v>114</v>
      </c>
      <c r="O374" s="52">
        <f>4.65*5</f>
        <v>23.25</v>
      </c>
      <c r="P374" s="54" t="s">
        <v>24</v>
      </c>
      <c r="Q374" s="54"/>
      <c r="R374" s="55">
        <v>1</v>
      </c>
      <c r="S374" s="54">
        <v>26</v>
      </c>
      <c r="T374" s="56">
        <f t="shared" si="60"/>
        <v>52</v>
      </c>
      <c r="U374" s="52">
        <v>2</v>
      </c>
      <c r="V374" s="52">
        <v>30.23</v>
      </c>
      <c r="W374" s="52">
        <f t="shared" si="69"/>
        <v>30.23</v>
      </c>
      <c r="X374" s="52">
        <f t="shared" si="66"/>
        <v>60.46</v>
      </c>
      <c r="Y374" s="52"/>
      <c r="Z374" s="52">
        <v>23.88</v>
      </c>
      <c r="AA374" s="52">
        <f t="shared" si="67"/>
        <v>47.76</v>
      </c>
      <c r="AB374" s="52"/>
      <c r="AC374" s="52"/>
      <c r="AE374" s="57" t="s">
        <v>115</v>
      </c>
      <c r="AH374" s="57">
        <v>23.25</v>
      </c>
      <c r="AI374" s="58">
        <v>0</v>
      </c>
      <c r="AK374" s="57">
        <f t="shared" si="70"/>
        <v>46.5</v>
      </c>
      <c r="AP374" s="57">
        <v>0</v>
      </c>
      <c r="AQ374" s="59" t="s">
        <v>1450</v>
      </c>
      <c r="AR374" s="60">
        <v>14.5</v>
      </c>
      <c r="AS374" s="60">
        <v>435</v>
      </c>
    </row>
    <row r="375" spans="2:45" s="57" customFormat="1" ht="22.5">
      <c r="B375" s="93" t="s">
        <v>1451</v>
      </c>
      <c r="C375" s="64" t="s">
        <v>1452</v>
      </c>
      <c r="D375" s="72" t="s">
        <v>340</v>
      </c>
      <c r="E375" s="64" t="s">
        <v>107</v>
      </c>
      <c r="F375" s="64" t="s">
        <v>1453</v>
      </c>
      <c r="G375" s="73">
        <v>12</v>
      </c>
      <c r="H375" s="48">
        <f>ROUND(O375*1.1,2)</f>
        <v>13.9</v>
      </c>
      <c r="I375" s="49">
        <f t="shared" si="68"/>
        <v>166.8</v>
      </c>
      <c r="J375" s="50">
        <v>0.23</v>
      </c>
      <c r="K375" s="51">
        <f t="shared" si="59"/>
        <v>38.364000000000004</v>
      </c>
      <c r="L375" s="51">
        <f t="shared" si="64"/>
        <v>205.16400000000002</v>
      </c>
      <c r="M375" s="52"/>
      <c r="N375" s="53" t="s">
        <v>50</v>
      </c>
      <c r="O375" s="52">
        <v>12.64</v>
      </c>
      <c r="P375" s="54" t="s">
        <v>64</v>
      </c>
      <c r="Q375" s="54"/>
      <c r="R375" s="55"/>
      <c r="S375" s="54">
        <v>14</v>
      </c>
      <c r="T375" s="56">
        <f t="shared" si="60"/>
        <v>168</v>
      </c>
      <c r="U375" s="52">
        <v>12</v>
      </c>
      <c r="V375" s="52">
        <v>49.5</v>
      </c>
      <c r="W375" s="52">
        <f>ROUND(AH375*1.1,2)</f>
        <v>49.5</v>
      </c>
      <c r="X375" s="52">
        <f t="shared" si="66"/>
        <v>594</v>
      </c>
      <c r="Y375" s="52">
        <v>0.1</v>
      </c>
      <c r="Z375" s="52">
        <v>54.72</v>
      </c>
      <c r="AA375" s="52">
        <f t="shared" si="67"/>
        <v>656.64</v>
      </c>
      <c r="AB375" s="52" t="s">
        <v>239</v>
      </c>
      <c r="AC375" s="52"/>
      <c r="AE375" s="57" t="s">
        <v>52</v>
      </c>
      <c r="AH375" s="57">
        <v>45</v>
      </c>
      <c r="AI375" s="58">
        <v>0</v>
      </c>
      <c r="AK375" s="57">
        <f t="shared" si="70"/>
        <v>540</v>
      </c>
      <c r="AP375" s="57">
        <v>0</v>
      </c>
      <c r="AQ375" s="59" t="s">
        <v>1454</v>
      </c>
      <c r="AR375" s="60">
        <v>13</v>
      </c>
      <c r="AS375" s="60">
        <v>52</v>
      </c>
    </row>
    <row r="376" spans="2:45" s="57" customFormat="1">
      <c r="B376" s="93" t="s">
        <v>1455</v>
      </c>
      <c r="C376" s="46" t="s">
        <v>1456</v>
      </c>
      <c r="D376" s="66" t="s">
        <v>47</v>
      </c>
      <c r="E376" s="46" t="s">
        <v>68</v>
      </c>
      <c r="F376" s="46" t="s">
        <v>1457</v>
      </c>
      <c r="G376" s="73">
        <v>10</v>
      </c>
      <c r="H376" s="48">
        <f t="shared" si="63"/>
        <v>23.48</v>
      </c>
      <c r="I376" s="49">
        <f t="shared" si="68"/>
        <v>234.8</v>
      </c>
      <c r="J376" s="50">
        <v>0.23</v>
      </c>
      <c r="K376" s="51">
        <f t="shared" si="59"/>
        <v>54.004000000000019</v>
      </c>
      <c r="L376" s="51">
        <f t="shared" si="64"/>
        <v>288.80400000000003</v>
      </c>
      <c r="M376" s="52"/>
      <c r="N376" s="53" t="s">
        <v>50</v>
      </c>
      <c r="O376" s="52">
        <v>15.65</v>
      </c>
      <c r="P376" s="54" t="s">
        <v>64</v>
      </c>
      <c r="Q376" s="54">
        <v>22.02</v>
      </c>
      <c r="R376" s="55"/>
      <c r="S376" s="54">
        <v>17</v>
      </c>
      <c r="T376" s="56">
        <f t="shared" si="60"/>
        <v>170</v>
      </c>
      <c r="U376" s="52">
        <v>20</v>
      </c>
      <c r="V376" s="52">
        <v>32.5</v>
      </c>
      <c r="W376" s="52">
        <f t="shared" si="69"/>
        <v>32.5</v>
      </c>
      <c r="X376" s="52">
        <f t="shared" si="66"/>
        <v>325</v>
      </c>
      <c r="Y376" s="52"/>
      <c r="Z376" s="52">
        <v>20</v>
      </c>
      <c r="AA376" s="52">
        <f t="shared" si="67"/>
        <v>200</v>
      </c>
      <c r="AB376" s="52"/>
      <c r="AC376" s="52"/>
      <c r="AE376" s="57" t="s">
        <v>52</v>
      </c>
      <c r="AH376" s="57">
        <v>25</v>
      </c>
      <c r="AI376" s="58"/>
      <c r="AK376" s="57">
        <f t="shared" si="70"/>
        <v>250</v>
      </c>
      <c r="AP376" s="57">
        <v>0</v>
      </c>
      <c r="AQ376" s="59">
        <v>0</v>
      </c>
      <c r="AR376" s="59">
        <v>0</v>
      </c>
      <c r="AS376" s="60">
        <v>0</v>
      </c>
    </row>
    <row r="377" spans="2:45" s="57" customFormat="1">
      <c r="B377" s="93" t="s">
        <v>1458</v>
      </c>
      <c r="C377" s="46" t="s">
        <v>1456</v>
      </c>
      <c r="D377" s="66" t="s">
        <v>67</v>
      </c>
      <c r="E377" s="46" t="s">
        <v>68</v>
      </c>
      <c r="F377" s="46" t="s">
        <v>1457</v>
      </c>
      <c r="G377" s="73">
        <v>10</v>
      </c>
      <c r="H377" s="48">
        <f t="shared" si="63"/>
        <v>39.56</v>
      </c>
      <c r="I377" s="49">
        <f t="shared" si="68"/>
        <v>395.6</v>
      </c>
      <c r="J377" s="50">
        <v>0.23</v>
      </c>
      <c r="K377" s="51">
        <f t="shared" si="59"/>
        <v>90.988</v>
      </c>
      <c r="L377" s="51">
        <f t="shared" si="64"/>
        <v>486.58800000000002</v>
      </c>
      <c r="M377" s="52"/>
      <c r="N377" s="53" t="s">
        <v>50</v>
      </c>
      <c r="O377" s="52">
        <v>26.37</v>
      </c>
      <c r="P377" s="54" t="s">
        <v>64</v>
      </c>
      <c r="Q377" s="54">
        <f>18.58*2.5</f>
        <v>46.449999999999996</v>
      </c>
      <c r="R377" s="55">
        <v>4</v>
      </c>
      <c r="S377" s="54">
        <v>30</v>
      </c>
      <c r="T377" s="56">
        <f t="shared" si="60"/>
        <v>300</v>
      </c>
      <c r="U377" s="52">
        <v>4</v>
      </c>
      <c r="V377" s="52">
        <v>54.6</v>
      </c>
      <c r="W377" s="52">
        <f t="shared" si="69"/>
        <v>54.6</v>
      </c>
      <c r="X377" s="52">
        <f t="shared" si="66"/>
        <v>546</v>
      </c>
      <c r="Y377" s="52"/>
      <c r="Z377" s="52">
        <v>30</v>
      </c>
      <c r="AA377" s="52">
        <f t="shared" si="67"/>
        <v>300</v>
      </c>
      <c r="AB377" s="52"/>
      <c r="AC377" s="52"/>
      <c r="AE377" s="57" t="s">
        <v>52</v>
      </c>
      <c r="AH377" s="57">
        <v>42</v>
      </c>
      <c r="AI377" s="58"/>
      <c r="AK377" s="57">
        <f t="shared" si="70"/>
        <v>420</v>
      </c>
      <c r="AP377" s="57">
        <v>0</v>
      </c>
      <c r="AQ377" s="59" t="s">
        <v>1459</v>
      </c>
      <c r="AR377" s="60">
        <v>13.2385</v>
      </c>
      <c r="AS377" s="60">
        <v>52.954000000000001</v>
      </c>
    </row>
    <row r="378" spans="2:45" s="57" customFormat="1" ht="22.5">
      <c r="B378" s="93" t="s">
        <v>1460</v>
      </c>
      <c r="C378" s="64" t="s">
        <v>1461</v>
      </c>
      <c r="D378" s="72" t="s">
        <v>340</v>
      </c>
      <c r="E378" s="64" t="s">
        <v>609</v>
      </c>
      <c r="F378" s="64" t="s">
        <v>1462</v>
      </c>
      <c r="G378" s="73">
        <v>12</v>
      </c>
      <c r="H378" s="65">
        <f>ROUND(O378*0.6,2)</f>
        <v>465.79</v>
      </c>
      <c r="I378" s="49">
        <f t="shared" si="68"/>
        <v>5589.4800000000005</v>
      </c>
      <c r="J378" s="50">
        <v>0.23</v>
      </c>
      <c r="K378" s="51">
        <f t="shared" si="59"/>
        <v>1285.5803999999998</v>
      </c>
      <c r="L378" s="51">
        <f t="shared" si="64"/>
        <v>6875.0604000000003</v>
      </c>
      <c r="M378" s="52"/>
      <c r="N378" s="53" t="s">
        <v>79</v>
      </c>
      <c r="O378" s="52">
        <f>230.02*4.5*0.75</f>
        <v>776.31750000000011</v>
      </c>
      <c r="P378" s="54" t="s">
        <v>24</v>
      </c>
      <c r="Q378" s="54"/>
      <c r="R378" s="55"/>
      <c r="S378" s="54">
        <f>230.02*4.5*1</f>
        <v>1035.0900000000001</v>
      </c>
      <c r="T378" s="56">
        <f t="shared" si="60"/>
        <v>12421.080000000002</v>
      </c>
      <c r="U378" s="52">
        <v>4</v>
      </c>
      <c r="V378" s="52">
        <v>481.43</v>
      </c>
      <c r="W378" s="52">
        <f>ROUND(AH378*0.7,2)</f>
        <v>481.43</v>
      </c>
      <c r="X378" s="52">
        <f t="shared" si="66"/>
        <v>5777.16</v>
      </c>
      <c r="Y378" s="52" t="s">
        <v>701</v>
      </c>
      <c r="Z378" s="52">
        <v>983</v>
      </c>
      <c r="AA378" s="52">
        <f t="shared" si="67"/>
        <v>11796</v>
      </c>
      <c r="AB378" s="52" t="s">
        <v>239</v>
      </c>
      <c r="AC378" s="52"/>
      <c r="AE378" s="57" t="s">
        <v>83</v>
      </c>
      <c r="AF378" s="57">
        <f>223.3*4.4</f>
        <v>982.5200000000001</v>
      </c>
      <c r="AH378" s="57">
        <f>AF378*0.7</f>
        <v>687.76400000000001</v>
      </c>
      <c r="AI378" s="58" t="s">
        <v>1463</v>
      </c>
      <c r="AK378" s="57">
        <f t="shared" si="70"/>
        <v>8253.1679999999997</v>
      </c>
      <c r="AP378" s="57">
        <v>0</v>
      </c>
      <c r="AQ378" s="59" t="s">
        <v>1464</v>
      </c>
      <c r="AR378" s="60">
        <v>52.185500000000005</v>
      </c>
      <c r="AS378" s="60">
        <v>313.11300000000006</v>
      </c>
    </row>
    <row r="379" spans="2:45" s="57" customFormat="1">
      <c r="B379" s="93" t="s">
        <v>1465</v>
      </c>
      <c r="C379" s="46" t="s">
        <v>1466</v>
      </c>
      <c r="D379" s="46" t="s">
        <v>47</v>
      </c>
      <c r="E379" s="46" t="s">
        <v>56</v>
      </c>
      <c r="F379" s="46" t="s">
        <v>1467</v>
      </c>
      <c r="G379" s="77">
        <v>20</v>
      </c>
      <c r="H379" s="48">
        <f t="shared" si="63"/>
        <v>47.13</v>
      </c>
      <c r="I379" s="49">
        <f t="shared" si="68"/>
        <v>942.6</v>
      </c>
      <c r="J379" s="50">
        <v>0.23</v>
      </c>
      <c r="K379" s="51">
        <f t="shared" si="59"/>
        <v>216.79800000000012</v>
      </c>
      <c r="L379" s="51">
        <f t="shared" si="64"/>
        <v>1159.3980000000001</v>
      </c>
      <c r="M379" s="52" t="s">
        <v>1399</v>
      </c>
      <c r="N379" s="53" t="s">
        <v>50</v>
      </c>
      <c r="O379" s="52">
        <v>31.42</v>
      </c>
      <c r="P379" s="54" t="s">
        <v>64</v>
      </c>
      <c r="Q379" s="54">
        <v>10.25</v>
      </c>
      <c r="R379" s="55">
        <v>11</v>
      </c>
      <c r="S379" s="54">
        <v>12</v>
      </c>
      <c r="T379" s="56">
        <f t="shared" si="60"/>
        <v>240</v>
      </c>
      <c r="U379" s="52">
        <v>60</v>
      </c>
      <c r="V379" s="52">
        <v>46.07</v>
      </c>
      <c r="W379" s="52">
        <f t="shared" si="69"/>
        <v>46.07</v>
      </c>
      <c r="X379" s="52">
        <f t="shared" si="66"/>
        <v>921.4</v>
      </c>
      <c r="Y379" s="52"/>
      <c r="Z379" s="52">
        <v>31.62</v>
      </c>
      <c r="AA379" s="52">
        <f t="shared" si="67"/>
        <v>632.4</v>
      </c>
      <c r="AB379" s="52"/>
      <c r="AC379" s="52"/>
      <c r="AE379" s="57" t="s">
        <v>52</v>
      </c>
      <c r="AH379" s="57">
        <v>35.44</v>
      </c>
      <c r="AI379" s="58">
        <v>46</v>
      </c>
      <c r="AK379" s="57">
        <f t="shared" si="70"/>
        <v>708.8</v>
      </c>
      <c r="AP379" s="57">
        <v>0</v>
      </c>
      <c r="AQ379" s="59">
        <v>0</v>
      </c>
      <c r="AR379" s="59">
        <v>0</v>
      </c>
      <c r="AS379" s="60">
        <v>0</v>
      </c>
    </row>
    <row r="380" spans="2:45" s="57" customFormat="1" ht="22.5">
      <c r="B380" s="93" t="s">
        <v>1468</v>
      </c>
      <c r="C380" s="46" t="s">
        <v>1466</v>
      </c>
      <c r="D380" s="46" t="s">
        <v>47</v>
      </c>
      <c r="E380" s="46" t="s">
        <v>56</v>
      </c>
      <c r="F380" s="46" t="s">
        <v>1469</v>
      </c>
      <c r="G380" s="77">
        <v>100</v>
      </c>
      <c r="H380" s="48">
        <f t="shared" si="63"/>
        <v>15.38</v>
      </c>
      <c r="I380" s="49">
        <f t="shared" si="68"/>
        <v>1538</v>
      </c>
      <c r="J380" s="50">
        <v>0.23</v>
      </c>
      <c r="K380" s="51">
        <f t="shared" si="59"/>
        <v>353.74</v>
      </c>
      <c r="L380" s="51">
        <f t="shared" si="64"/>
        <v>1891.74</v>
      </c>
      <c r="M380" s="52"/>
      <c r="N380" s="53" t="s">
        <v>114</v>
      </c>
      <c r="O380" s="52">
        <v>10.25</v>
      </c>
      <c r="P380" s="54" t="s">
        <v>24</v>
      </c>
      <c r="Q380" s="54"/>
      <c r="R380" s="55">
        <v>82</v>
      </c>
      <c r="S380" s="54">
        <v>12</v>
      </c>
      <c r="T380" s="56">
        <f t="shared" si="60"/>
        <v>1200</v>
      </c>
      <c r="U380" s="52">
        <v>200</v>
      </c>
      <c r="V380" s="52">
        <v>13.33</v>
      </c>
      <c r="W380" s="52">
        <f t="shared" si="69"/>
        <v>13.33</v>
      </c>
      <c r="X380" s="52">
        <f t="shared" si="66"/>
        <v>1333</v>
      </c>
      <c r="Y380" s="52"/>
      <c r="Z380" s="52">
        <v>10</v>
      </c>
      <c r="AA380" s="52">
        <f t="shared" si="67"/>
        <v>1000</v>
      </c>
      <c r="AB380" s="52"/>
      <c r="AC380" s="52"/>
      <c r="AE380" s="57" t="s">
        <v>115</v>
      </c>
      <c r="AF380" s="57">
        <v>13.49</v>
      </c>
      <c r="AH380" s="57">
        <v>10.25</v>
      </c>
      <c r="AI380" s="58">
        <v>180</v>
      </c>
      <c r="AJ380" s="57">
        <v>9.35</v>
      </c>
      <c r="AK380" s="57">
        <f>AJ380*G380</f>
        <v>935</v>
      </c>
      <c r="AP380" s="57">
        <v>0</v>
      </c>
      <c r="AQ380" s="59" t="s">
        <v>1470</v>
      </c>
      <c r="AR380" s="60">
        <v>41.136499999999998</v>
      </c>
      <c r="AS380" s="60">
        <v>246.81899999999999</v>
      </c>
    </row>
    <row r="381" spans="2:45" s="57" customFormat="1" ht="22.5">
      <c r="B381" s="93" t="s">
        <v>1471</v>
      </c>
      <c r="C381" s="46" t="s">
        <v>1472</v>
      </c>
      <c r="D381" s="66" t="s">
        <v>191</v>
      </c>
      <c r="E381" s="46" t="s">
        <v>88</v>
      </c>
      <c r="F381" s="46" t="s">
        <v>1473</v>
      </c>
      <c r="G381" s="67">
        <v>2</v>
      </c>
      <c r="H381" s="48">
        <f t="shared" si="63"/>
        <v>131.1</v>
      </c>
      <c r="I381" s="49">
        <f t="shared" si="68"/>
        <v>262.2</v>
      </c>
      <c r="J381" s="50">
        <v>0.23</v>
      </c>
      <c r="K381" s="51">
        <f t="shared" si="59"/>
        <v>60.305999999999983</v>
      </c>
      <c r="L381" s="51">
        <f t="shared" si="64"/>
        <v>322.50599999999997</v>
      </c>
      <c r="M381" s="52"/>
      <c r="N381" s="53" t="s">
        <v>114</v>
      </c>
      <c r="O381" s="52">
        <v>87.4</v>
      </c>
      <c r="P381" s="54" t="s">
        <v>24</v>
      </c>
      <c r="Q381" s="54"/>
      <c r="R381" s="55">
        <v>5</v>
      </c>
      <c r="S381" s="54">
        <v>95</v>
      </c>
      <c r="T381" s="56">
        <f t="shared" si="60"/>
        <v>190</v>
      </c>
      <c r="U381" s="52">
        <v>2</v>
      </c>
      <c r="V381" s="52">
        <v>113.62</v>
      </c>
      <c r="W381" s="52">
        <f t="shared" si="69"/>
        <v>113.62</v>
      </c>
      <c r="X381" s="52">
        <f t="shared" si="66"/>
        <v>227.24</v>
      </c>
      <c r="Y381" s="52"/>
      <c r="Z381" s="52">
        <v>99.6</v>
      </c>
      <c r="AA381" s="52">
        <f t="shared" si="67"/>
        <v>199.2</v>
      </c>
      <c r="AB381" s="52"/>
      <c r="AC381" s="52"/>
      <c r="AE381" s="57" t="s">
        <v>115</v>
      </c>
      <c r="AF381" s="57">
        <v>115</v>
      </c>
      <c r="AH381" s="57">
        <v>87.4</v>
      </c>
      <c r="AI381" s="58">
        <v>5</v>
      </c>
      <c r="AK381" s="57">
        <f>AH381*G381</f>
        <v>174.8</v>
      </c>
      <c r="AP381" s="57">
        <v>0</v>
      </c>
      <c r="AQ381" s="59">
        <v>0</v>
      </c>
      <c r="AR381" s="59">
        <v>0</v>
      </c>
      <c r="AS381" s="60">
        <v>0</v>
      </c>
    </row>
    <row r="382" spans="2:45" s="57" customFormat="1" ht="22.5">
      <c r="B382" s="93" t="s">
        <v>1474</v>
      </c>
      <c r="C382" s="64" t="s">
        <v>1475</v>
      </c>
      <c r="D382" s="64" t="s">
        <v>872</v>
      </c>
      <c r="E382" s="64" t="s">
        <v>249</v>
      </c>
      <c r="F382" s="64" t="s">
        <v>1476</v>
      </c>
      <c r="G382" s="47">
        <v>2</v>
      </c>
      <c r="H382" s="48">
        <f t="shared" si="63"/>
        <v>111.39</v>
      </c>
      <c r="I382" s="49">
        <f t="shared" si="68"/>
        <v>222.78</v>
      </c>
      <c r="J382" s="50">
        <v>0.23</v>
      </c>
      <c r="K382" s="51">
        <f t="shared" si="59"/>
        <v>51.239400000000018</v>
      </c>
      <c r="L382" s="51">
        <f t="shared" si="64"/>
        <v>274.01940000000002</v>
      </c>
      <c r="M382" s="52"/>
      <c r="N382" s="53" t="s">
        <v>114</v>
      </c>
      <c r="O382" s="52">
        <v>74.260000000000005</v>
      </c>
      <c r="P382" s="54" t="s">
        <v>24</v>
      </c>
      <c r="Q382" s="54"/>
      <c r="R382" s="55">
        <v>2</v>
      </c>
      <c r="S382" s="54">
        <v>80</v>
      </c>
      <c r="T382" s="56">
        <f t="shared" si="60"/>
        <v>160</v>
      </c>
      <c r="U382" s="52">
        <v>2</v>
      </c>
      <c r="V382" s="52">
        <v>96.67</v>
      </c>
      <c r="W382" s="52">
        <f t="shared" si="69"/>
        <v>96.67</v>
      </c>
      <c r="X382" s="52">
        <f t="shared" si="66"/>
        <v>193.34</v>
      </c>
      <c r="Y382" s="52"/>
      <c r="Z382" s="52">
        <v>75</v>
      </c>
      <c r="AA382" s="52">
        <f t="shared" si="67"/>
        <v>150</v>
      </c>
      <c r="AB382" s="52"/>
      <c r="AC382" s="52"/>
      <c r="AE382" s="57" t="s">
        <v>115</v>
      </c>
      <c r="AF382" s="57">
        <v>97.84</v>
      </c>
      <c r="AH382" s="57">
        <v>74.36</v>
      </c>
      <c r="AI382" s="58">
        <v>0</v>
      </c>
      <c r="AK382" s="57">
        <f>AH382*G382</f>
        <v>148.72</v>
      </c>
      <c r="AP382" s="57">
        <v>0</v>
      </c>
      <c r="AQ382" s="59">
        <v>0</v>
      </c>
      <c r="AR382" s="59">
        <v>0</v>
      </c>
      <c r="AS382" s="60">
        <v>0</v>
      </c>
    </row>
    <row r="383" spans="2:45" s="57" customFormat="1">
      <c r="B383" s="93" t="s">
        <v>1477</v>
      </c>
      <c r="C383" s="46" t="s">
        <v>1478</v>
      </c>
      <c r="D383" s="46" t="s">
        <v>622</v>
      </c>
      <c r="E383" s="46" t="s">
        <v>56</v>
      </c>
      <c r="F383" s="46" t="s">
        <v>1479</v>
      </c>
      <c r="G383" s="61">
        <v>3</v>
      </c>
      <c r="H383" s="48">
        <f t="shared" si="63"/>
        <v>145.49</v>
      </c>
      <c r="I383" s="49">
        <f t="shared" si="68"/>
        <v>436.47</v>
      </c>
      <c r="J383" s="50">
        <v>0.23</v>
      </c>
      <c r="K383" s="51">
        <f t="shared" si="59"/>
        <v>100.38810000000001</v>
      </c>
      <c r="L383" s="51">
        <f t="shared" si="64"/>
        <v>536.85810000000004</v>
      </c>
      <c r="M383" s="52"/>
      <c r="N383" s="53" t="s">
        <v>50</v>
      </c>
      <c r="O383" s="52">
        <v>96.99</v>
      </c>
      <c r="P383" s="54" t="s">
        <v>64</v>
      </c>
      <c r="Q383" s="54"/>
      <c r="R383" s="55">
        <v>2</v>
      </c>
      <c r="S383" s="54">
        <v>106</v>
      </c>
      <c r="T383" s="56">
        <f t="shared" si="60"/>
        <v>318</v>
      </c>
      <c r="U383" s="52">
        <v>3</v>
      </c>
      <c r="V383" s="52">
        <v>105.14</v>
      </c>
      <c r="W383" s="52">
        <f t="shared" si="69"/>
        <v>105.14</v>
      </c>
      <c r="X383" s="52">
        <f t="shared" si="66"/>
        <v>315.42</v>
      </c>
      <c r="Y383" s="52"/>
      <c r="Z383" s="52">
        <v>90</v>
      </c>
      <c r="AA383" s="52">
        <f t="shared" si="67"/>
        <v>270</v>
      </c>
      <c r="AB383" s="52"/>
      <c r="AC383" s="52"/>
      <c r="AE383" s="57" t="s">
        <v>52</v>
      </c>
      <c r="AH383" s="57">
        <v>80.88</v>
      </c>
      <c r="AI383" s="58">
        <v>2</v>
      </c>
      <c r="AK383" s="57">
        <f>AH383*G383</f>
        <v>242.64</v>
      </c>
      <c r="AP383" s="57">
        <v>0</v>
      </c>
      <c r="AQ383" s="59">
        <v>0</v>
      </c>
      <c r="AR383" s="59">
        <v>0</v>
      </c>
      <c r="AS383" s="60">
        <v>0</v>
      </c>
    </row>
    <row r="384" spans="2:45" s="57" customFormat="1" ht="22.5">
      <c r="B384" s="93" t="s">
        <v>1480</v>
      </c>
      <c r="C384" s="46" t="s">
        <v>1481</v>
      </c>
      <c r="D384" s="46" t="s">
        <v>132</v>
      </c>
      <c r="E384" s="46" t="s">
        <v>56</v>
      </c>
      <c r="F384" s="46" t="s">
        <v>1482</v>
      </c>
      <c r="G384" s="61">
        <v>9</v>
      </c>
      <c r="H384" s="48">
        <f t="shared" si="63"/>
        <v>20.13</v>
      </c>
      <c r="I384" s="49">
        <f t="shared" si="68"/>
        <v>181.17</v>
      </c>
      <c r="J384" s="50">
        <v>0.23</v>
      </c>
      <c r="K384" s="51">
        <f t="shared" si="59"/>
        <v>41.669099999999986</v>
      </c>
      <c r="L384" s="51">
        <f t="shared" si="64"/>
        <v>222.83909999999997</v>
      </c>
      <c r="M384" s="52"/>
      <c r="N384" s="53" t="s">
        <v>114</v>
      </c>
      <c r="O384" s="52">
        <v>13.42</v>
      </c>
      <c r="P384" s="54" t="s">
        <v>24</v>
      </c>
      <c r="Q384" s="54"/>
      <c r="R384" s="55">
        <v>6</v>
      </c>
      <c r="S384" s="54">
        <v>15</v>
      </c>
      <c r="T384" s="56">
        <f t="shared" si="60"/>
        <v>135</v>
      </c>
      <c r="U384" s="52">
        <v>9</v>
      </c>
      <c r="V384" s="52">
        <v>17.45</v>
      </c>
      <c r="W384" s="52">
        <f t="shared" si="69"/>
        <v>17.45</v>
      </c>
      <c r="X384" s="52">
        <f t="shared" si="66"/>
        <v>157.04999999999998</v>
      </c>
      <c r="Y384" s="52"/>
      <c r="Z384" s="52">
        <v>13.8</v>
      </c>
      <c r="AA384" s="52">
        <f t="shared" si="67"/>
        <v>124.2</v>
      </c>
      <c r="AB384" s="52"/>
      <c r="AC384" s="52"/>
      <c r="AE384" s="57" t="s">
        <v>115</v>
      </c>
      <c r="AF384" s="57">
        <v>17.66</v>
      </c>
      <c r="AH384" s="57">
        <v>13.42</v>
      </c>
      <c r="AI384" s="58">
        <v>9</v>
      </c>
      <c r="AJ384" s="57">
        <v>12</v>
      </c>
      <c r="AK384" s="57">
        <f>AJ384*G384</f>
        <v>108</v>
      </c>
      <c r="AP384" s="57">
        <v>0</v>
      </c>
      <c r="AQ384" s="59" t="s">
        <v>1483</v>
      </c>
      <c r="AR384" s="60">
        <v>88.6965</v>
      </c>
      <c r="AS384" s="60">
        <v>88.6965</v>
      </c>
    </row>
    <row r="385" spans="2:45" s="57" customFormat="1">
      <c r="B385" s="93" t="s">
        <v>1484</v>
      </c>
      <c r="C385" s="64" t="s">
        <v>1485</v>
      </c>
      <c r="D385" s="64" t="s">
        <v>622</v>
      </c>
      <c r="E385" s="64" t="s">
        <v>56</v>
      </c>
      <c r="F385" s="64" t="s">
        <v>1486</v>
      </c>
      <c r="G385" s="47">
        <v>2</v>
      </c>
      <c r="H385" s="48">
        <f t="shared" si="63"/>
        <v>132.75</v>
      </c>
      <c r="I385" s="49">
        <f t="shared" si="68"/>
        <v>265.5</v>
      </c>
      <c r="J385" s="50">
        <v>0.23</v>
      </c>
      <c r="K385" s="51">
        <f t="shared" si="59"/>
        <v>61.064999999999998</v>
      </c>
      <c r="L385" s="51">
        <f t="shared" si="64"/>
        <v>326.565</v>
      </c>
      <c r="M385" s="52"/>
      <c r="N385" s="53" t="s">
        <v>50</v>
      </c>
      <c r="O385" s="52">
        <v>88.5</v>
      </c>
      <c r="P385" s="54" t="s">
        <v>64</v>
      </c>
      <c r="Q385" s="54">
        <v>73.349999999999994</v>
      </c>
      <c r="R385" s="55">
        <v>2</v>
      </c>
      <c r="S385" s="54">
        <v>80</v>
      </c>
      <c r="T385" s="56">
        <f t="shared" si="60"/>
        <v>160</v>
      </c>
      <c r="U385" s="52">
        <v>2</v>
      </c>
      <c r="V385" s="52">
        <v>95.95</v>
      </c>
      <c r="W385" s="52">
        <f t="shared" si="69"/>
        <v>95.95</v>
      </c>
      <c r="X385" s="52">
        <f t="shared" si="66"/>
        <v>191.9</v>
      </c>
      <c r="Y385" s="52"/>
      <c r="Z385" s="52">
        <v>63.38</v>
      </c>
      <c r="AA385" s="52">
        <f t="shared" si="67"/>
        <v>126.76</v>
      </c>
      <c r="AB385" s="52"/>
      <c r="AC385" s="52"/>
      <c r="AE385" s="57" t="s">
        <v>52</v>
      </c>
      <c r="AH385" s="57">
        <v>73.81</v>
      </c>
      <c r="AI385" s="58">
        <v>0</v>
      </c>
      <c r="AK385" s="57">
        <f>AH385*G385</f>
        <v>147.62</v>
      </c>
      <c r="AP385" s="57">
        <v>46</v>
      </c>
      <c r="AQ385" s="59">
        <v>0</v>
      </c>
      <c r="AR385" s="59">
        <v>0</v>
      </c>
      <c r="AS385" s="60">
        <v>0</v>
      </c>
    </row>
    <row r="386" spans="2:45" s="57" customFormat="1">
      <c r="B386" s="93" t="s">
        <v>1487</v>
      </c>
      <c r="C386" s="46" t="s">
        <v>1488</v>
      </c>
      <c r="D386" s="46" t="s">
        <v>132</v>
      </c>
      <c r="E386" s="46" t="s">
        <v>56</v>
      </c>
      <c r="F386" s="46" t="s">
        <v>1489</v>
      </c>
      <c r="G386" s="61">
        <v>4</v>
      </c>
      <c r="H386" s="48">
        <f t="shared" si="63"/>
        <v>71.25</v>
      </c>
      <c r="I386" s="49">
        <f t="shared" si="68"/>
        <v>285</v>
      </c>
      <c r="J386" s="50">
        <v>0.23</v>
      </c>
      <c r="K386" s="51">
        <f t="shared" si="59"/>
        <v>65.550000000000011</v>
      </c>
      <c r="L386" s="51">
        <f t="shared" si="64"/>
        <v>350.55</v>
      </c>
      <c r="M386" s="52"/>
      <c r="N386" s="53" t="s">
        <v>50</v>
      </c>
      <c r="O386" s="52">
        <v>47.5</v>
      </c>
      <c r="P386" s="54" t="s">
        <v>64</v>
      </c>
      <c r="Q386" s="54">
        <v>37.090000000000003</v>
      </c>
      <c r="R386" s="55">
        <v>2</v>
      </c>
      <c r="S386" s="54">
        <v>40</v>
      </c>
      <c r="T386" s="56">
        <f t="shared" si="60"/>
        <v>160</v>
      </c>
      <c r="U386" s="52">
        <v>4</v>
      </c>
      <c r="V386" s="52">
        <v>51.69</v>
      </c>
      <c r="W386" s="52">
        <f t="shared" si="69"/>
        <v>51.69</v>
      </c>
      <c r="X386" s="52">
        <f t="shared" si="66"/>
        <v>206.76</v>
      </c>
      <c r="Y386" s="52"/>
      <c r="Z386" s="52">
        <v>41.89</v>
      </c>
      <c r="AA386" s="52">
        <f t="shared" si="67"/>
        <v>167.56</v>
      </c>
      <c r="AB386" s="52"/>
      <c r="AC386" s="52"/>
      <c r="AE386" s="57" t="s">
        <v>52</v>
      </c>
      <c r="AH386" s="57">
        <v>39.76</v>
      </c>
      <c r="AI386" s="58">
        <v>2</v>
      </c>
      <c r="AK386" s="57">
        <f>AH386*G386</f>
        <v>159.04</v>
      </c>
      <c r="AP386" s="57">
        <v>180</v>
      </c>
      <c r="AQ386" s="59" t="s">
        <v>1490</v>
      </c>
      <c r="AR386" s="60">
        <v>70</v>
      </c>
      <c r="AS386" s="60">
        <v>210</v>
      </c>
    </row>
    <row r="387" spans="2:45" s="57" customFormat="1">
      <c r="B387" s="93" t="s">
        <v>1491</v>
      </c>
      <c r="C387" s="46" t="s">
        <v>1492</v>
      </c>
      <c r="D387" s="46" t="s">
        <v>132</v>
      </c>
      <c r="E387" s="46" t="s">
        <v>56</v>
      </c>
      <c r="F387" s="46" t="s">
        <v>1493</v>
      </c>
      <c r="G387" s="61">
        <v>12</v>
      </c>
      <c r="H387" s="48">
        <f t="shared" si="63"/>
        <v>107.45</v>
      </c>
      <c r="I387" s="49">
        <f t="shared" si="68"/>
        <v>1289.4000000000001</v>
      </c>
      <c r="J387" s="50">
        <v>0.23</v>
      </c>
      <c r="K387" s="51">
        <f t="shared" si="59"/>
        <v>296.5619999999999</v>
      </c>
      <c r="L387" s="51">
        <f t="shared" si="64"/>
        <v>1585.962</v>
      </c>
      <c r="M387" s="52"/>
      <c r="N387" s="53" t="s">
        <v>50</v>
      </c>
      <c r="O387" s="52">
        <v>71.63</v>
      </c>
      <c r="P387" s="54" t="s">
        <v>64</v>
      </c>
      <c r="Q387" s="54">
        <v>52.08</v>
      </c>
      <c r="R387" s="55">
        <v>6</v>
      </c>
      <c r="S387" s="54">
        <v>58</v>
      </c>
      <c r="T387" s="56">
        <f t="shared" si="60"/>
        <v>696</v>
      </c>
      <c r="U387" s="52">
        <v>12</v>
      </c>
      <c r="V387" s="52">
        <v>77.650000000000006</v>
      </c>
      <c r="W387" s="52">
        <f t="shared" si="69"/>
        <v>77.650000000000006</v>
      </c>
      <c r="X387" s="52">
        <f t="shared" si="66"/>
        <v>931.80000000000007</v>
      </c>
      <c r="Y387" s="52"/>
      <c r="Z387" s="52">
        <v>78.680000000000007</v>
      </c>
      <c r="AA387" s="52">
        <f t="shared" si="67"/>
        <v>944.16000000000008</v>
      </c>
      <c r="AB387" s="52"/>
      <c r="AC387" s="52"/>
      <c r="AE387" s="57" t="s">
        <v>52</v>
      </c>
      <c r="AH387" s="57">
        <v>59.73</v>
      </c>
      <c r="AI387" s="58">
        <v>9</v>
      </c>
      <c r="AK387" s="57">
        <f>AH387*G387</f>
        <v>716.76</v>
      </c>
      <c r="AP387" s="57">
        <v>0</v>
      </c>
      <c r="AQ387" s="59">
        <v>0</v>
      </c>
      <c r="AR387" s="59">
        <v>0</v>
      </c>
      <c r="AS387" s="60">
        <v>0</v>
      </c>
    </row>
    <row r="388" spans="2:45" s="57" customFormat="1">
      <c r="B388" s="93" t="s">
        <v>1494</v>
      </c>
      <c r="C388" s="46" t="s">
        <v>1495</v>
      </c>
      <c r="D388" s="46" t="s">
        <v>132</v>
      </c>
      <c r="E388" s="46" t="s">
        <v>56</v>
      </c>
      <c r="F388" s="46" t="s">
        <v>1496</v>
      </c>
      <c r="G388" s="61">
        <v>4</v>
      </c>
      <c r="H388" s="48">
        <f t="shared" si="63"/>
        <v>56.6</v>
      </c>
      <c r="I388" s="49">
        <f t="shared" si="68"/>
        <v>226.4</v>
      </c>
      <c r="J388" s="50">
        <v>0.08</v>
      </c>
      <c r="K388" s="51">
        <f t="shared" si="59"/>
        <v>18.111999999999995</v>
      </c>
      <c r="L388" s="51">
        <f t="shared" si="64"/>
        <v>244.512</v>
      </c>
      <c r="M388" s="52"/>
      <c r="N388" s="53" t="s">
        <v>50</v>
      </c>
      <c r="O388" s="52">
        <v>37.729999999999997</v>
      </c>
      <c r="P388" s="54" t="s">
        <v>64</v>
      </c>
      <c r="Q388" s="54"/>
      <c r="R388" s="55">
        <v>6</v>
      </c>
      <c r="S388" s="54">
        <v>40</v>
      </c>
      <c r="T388" s="56">
        <f t="shared" si="60"/>
        <v>160</v>
      </c>
      <c r="U388" s="52">
        <v>4</v>
      </c>
      <c r="V388" s="52">
        <v>40.909999999999997</v>
      </c>
      <c r="W388" s="52">
        <f t="shared" si="69"/>
        <v>40.909999999999997</v>
      </c>
      <c r="X388" s="52">
        <f t="shared" si="66"/>
        <v>163.63999999999999</v>
      </c>
      <c r="Y388" s="52"/>
      <c r="Z388" s="52">
        <v>42.1</v>
      </c>
      <c r="AA388" s="52">
        <f t="shared" si="67"/>
        <v>168.4</v>
      </c>
      <c r="AB388" s="52"/>
      <c r="AC388" s="52"/>
      <c r="AE388" s="57" t="s">
        <v>52</v>
      </c>
      <c r="AH388" s="57">
        <v>31.47</v>
      </c>
      <c r="AI388" s="58">
        <v>2</v>
      </c>
      <c r="AK388" s="57">
        <f>AH388*G388</f>
        <v>125.88</v>
      </c>
      <c r="AP388" s="57">
        <v>0</v>
      </c>
      <c r="AQ388" s="59">
        <v>0</v>
      </c>
      <c r="AR388" s="59">
        <v>0</v>
      </c>
      <c r="AS388" s="60">
        <v>0</v>
      </c>
    </row>
    <row r="389" spans="2:45" s="121" customFormat="1" ht="11.25">
      <c r="B389" s="93" t="s">
        <v>1497</v>
      </c>
      <c r="C389" s="93" t="s">
        <v>1498</v>
      </c>
      <c r="D389" s="110" t="s">
        <v>87</v>
      </c>
      <c r="E389" s="93" t="s">
        <v>107</v>
      </c>
      <c r="F389" s="110" t="s">
        <v>1499</v>
      </c>
      <c r="G389" s="110">
        <v>20</v>
      </c>
      <c r="H389" s="65">
        <f>ROUND(O389*1.18,2)</f>
        <v>165.2</v>
      </c>
      <c r="I389" s="49">
        <f t="shared" si="68"/>
        <v>3304</v>
      </c>
      <c r="J389" s="86">
        <v>0.08</v>
      </c>
      <c r="K389" s="51">
        <f t="shared" si="59"/>
        <v>264.32000000000016</v>
      </c>
      <c r="L389" s="51">
        <f t="shared" si="64"/>
        <v>3568.32</v>
      </c>
      <c r="M389" s="113"/>
      <c r="N389" s="114" t="s">
        <v>1500</v>
      </c>
      <c r="O389" s="114">
        <v>140</v>
      </c>
      <c r="P389" s="115" t="s">
        <v>1501</v>
      </c>
      <c r="Q389" s="116"/>
      <c r="R389" s="117"/>
      <c r="S389" s="52">
        <f>O389*1.07</f>
        <v>149.80000000000001</v>
      </c>
      <c r="T389" s="56">
        <f t="shared" si="60"/>
        <v>2996</v>
      </c>
      <c r="U389" s="113" t="s">
        <v>1502</v>
      </c>
      <c r="V389" s="113">
        <v>245770.14</v>
      </c>
      <c r="W389" s="52"/>
      <c r="X389" s="118">
        <f>SUM(X10:X388)</f>
        <v>243542.10000000009</v>
      </c>
      <c r="Y389" s="118"/>
      <c r="Z389" s="119"/>
      <c r="AA389" s="120">
        <f>SUM(AA10:AA388)</f>
        <v>278021.96000000014</v>
      </c>
      <c r="AB389" s="113"/>
      <c r="AC389" s="113"/>
      <c r="AI389" s="122"/>
      <c r="AJ389" s="123"/>
      <c r="AK389" s="113">
        <f>SUM(AK10:AK388)</f>
        <v>228026.11039999998</v>
      </c>
      <c r="AL389" s="121" t="s">
        <v>1503</v>
      </c>
      <c r="AM389" s="121" t="s">
        <v>1504</v>
      </c>
      <c r="AN389" s="121" t="s">
        <v>1505</v>
      </c>
      <c r="AP389" s="121">
        <v>5</v>
      </c>
      <c r="AQ389" s="124" t="s">
        <v>1506</v>
      </c>
      <c r="AR389" s="125">
        <v>33.842999999999996</v>
      </c>
      <c r="AS389" s="125">
        <v>169.21499999999997</v>
      </c>
    </row>
    <row r="390" spans="2:45" s="121" customFormat="1" ht="11.25">
      <c r="B390" s="93" t="s">
        <v>1507</v>
      </c>
      <c r="C390" s="93" t="s">
        <v>1508</v>
      </c>
      <c r="D390" s="110" t="s">
        <v>87</v>
      </c>
      <c r="E390" s="93" t="s">
        <v>107</v>
      </c>
      <c r="F390" s="110" t="s">
        <v>1509</v>
      </c>
      <c r="G390" s="110">
        <v>10</v>
      </c>
      <c r="H390" s="65">
        <f t="shared" ref="H390:H412" si="71">ROUND(O390*1.18,2)</f>
        <v>212.4</v>
      </c>
      <c r="I390" s="49">
        <f t="shared" si="68"/>
        <v>2124</v>
      </c>
      <c r="J390" s="86">
        <v>0.08</v>
      </c>
      <c r="K390" s="51">
        <f t="shared" si="59"/>
        <v>169.92000000000007</v>
      </c>
      <c r="L390" s="51">
        <f t="shared" si="64"/>
        <v>2293.92</v>
      </c>
      <c r="N390" s="114" t="s">
        <v>1500</v>
      </c>
      <c r="O390" s="121">
        <v>180</v>
      </c>
      <c r="P390" s="115" t="s">
        <v>1501</v>
      </c>
      <c r="Q390" s="115"/>
      <c r="R390" s="117"/>
      <c r="S390" s="52">
        <f t="shared" ref="S390:S412" si="72">O390*1.07</f>
        <v>192.60000000000002</v>
      </c>
      <c r="T390" s="56">
        <f t="shared" si="60"/>
        <v>1926.0000000000002</v>
      </c>
      <c r="Z390" s="126"/>
      <c r="AA390" s="126"/>
      <c r="AI390" s="122"/>
      <c r="AJ390" s="123"/>
      <c r="AK390" s="114">
        <f>AK11+AK61+AK86+AK91+AK99+AK114+AK143+AK160+AK168+AK175+AK264+AK274</f>
        <v>1403.8320000000003</v>
      </c>
      <c r="AL390" s="121" t="s">
        <v>58</v>
      </c>
      <c r="AP390" s="121">
        <v>2</v>
      </c>
      <c r="AQ390" s="124" t="s">
        <v>1510</v>
      </c>
      <c r="AR390" s="125">
        <v>61.654000000000003</v>
      </c>
      <c r="AS390" s="125">
        <v>616.54000000000008</v>
      </c>
    </row>
    <row r="391" spans="2:45" s="121" customFormat="1" ht="11.25">
      <c r="B391" s="93" t="s">
        <v>1511</v>
      </c>
      <c r="C391" s="93" t="s">
        <v>1512</v>
      </c>
      <c r="D391" s="110" t="s">
        <v>87</v>
      </c>
      <c r="E391" s="93" t="s">
        <v>107</v>
      </c>
      <c r="F391" s="110" t="s">
        <v>1513</v>
      </c>
      <c r="G391" s="110">
        <v>5</v>
      </c>
      <c r="H391" s="65">
        <f t="shared" si="71"/>
        <v>236</v>
      </c>
      <c r="I391" s="49">
        <f t="shared" si="68"/>
        <v>1180</v>
      </c>
      <c r="J391" s="86">
        <v>0.08</v>
      </c>
      <c r="K391" s="51">
        <f t="shared" si="59"/>
        <v>94.400000000000091</v>
      </c>
      <c r="L391" s="51">
        <f t="shared" si="64"/>
        <v>1274.4000000000001</v>
      </c>
      <c r="N391" s="114" t="s">
        <v>1500</v>
      </c>
      <c r="O391" s="121">
        <v>200</v>
      </c>
      <c r="P391" s="115" t="s">
        <v>1501</v>
      </c>
      <c r="Q391" s="115"/>
      <c r="R391" s="127"/>
      <c r="S391" s="52">
        <f t="shared" si="72"/>
        <v>214</v>
      </c>
      <c r="T391" s="56">
        <f t="shared" si="60"/>
        <v>1070</v>
      </c>
      <c r="Z391" s="126"/>
      <c r="AA391" s="126"/>
      <c r="AI391" s="122"/>
      <c r="AJ391" s="123"/>
      <c r="AK391" s="114">
        <f>AK16+AK17+AK18+AK63+AK106+AK144+AK194+AK211+AK212+AK214+AK223+AK336+AK370</f>
        <v>7196.0199999999995</v>
      </c>
      <c r="AL391" s="121" t="s">
        <v>91</v>
      </c>
      <c r="AP391" s="121">
        <v>0</v>
      </c>
      <c r="AQ391" s="124" t="s">
        <v>1514</v>
      </c>
      <c r="AR391" s="125">
        <v>45</v>
      </c>
      <c r="AS391" s="125">
        <v>900</v>
      </c>
    </row>
    <row r="392" spans="2:45" s="121" customFormat="1" ht="11.25">
      <c r="B392" s="93" t="s">
        <v>1515</v>
      </c>
      <c r="C392" s="93" t="s">
        <v>1516</v>
      </c>
      <c r="D392" s="110" t="s">
        <v>87</v>
      </c>
      <c r="E392" s="93" t="s">
        <v>107</v>
      </c>
      <c r="F392" s="110" t="s">
        <v>1517</v>
      </c>
      <c r="G392" s="110">
        <v>20</v>
      </c>
      <c r="H392" s="65">
        <f t="shared" si="71"/>
        <v>177</v>
      </c>
      <c r="I392" s="49">
        <f t="shared" si="68"/>
        <v>3540</v>
      </c>
      <c r="J392" s="86">
        <v>0.08</v>
      </c>
      <c r="K392" s="51">
        <f t="shared" si="59"/>
        <v>283.19999999999982</v>
      </c>
      <c r="L392" s="51">
        <f t="shared" si="64"/>
        <v>3823.2</v>
      </c>
      <c r="N392" s="114" t="s">
        <v>1500</v>
      </c>
      <c r="O392" s="121">
        <v>150</v>
      </c>
      <c r="P392" s="115" t="s">
        <v>1501</v>
      </c>
      <c r="Q392" s="115"/>
      <c r="R392" s="128"/>
      <c r="S392" s="52">
        <f t="shared" si="72"/>
        <v>160.5</v>
      </c>
      <c r="T392" s="56">
        <f t="shared" si="60"/>
        <v>3210</v>
      </c>
      <c r="Z392" s="126"/>
      <c r="AA392" s="126"/>
      <c r="AI392" s="122"/>
      <c r="AJ392" s="123"/>
      <c r="AK392" s="114" t="e">
        <f>AK389-#REF!-AK390-#REF!-AK391-#REF!</f>
        <v>#REF!</v>
      </c>
      <c r="AL392" s="121" t="s">
        <v>1518</v>
      </c>
      <c r="AM392" s="121">
        <f>AK365</f>
        <v>3698</v>
      </c>
      <c r="AN392" s="121" t="s">
        <v>1519</v>
      </c>
      <c r="AP392" s="121">
        <v>2</v>
      </c>
      <c r="AQ392" s="124">
        <v>0</v>
      </c>
      <c r="AR392" s="124">
        <v>0</v>
      </c>
      <c r="AS392" s="125">
        <v>0</v>
      </c>
    </row>
    <row r="393" spans="2:45" s="121" customFormat="1" ht="11.25">
      <c r="B393" s="93" t="s">
        <v>1520</v>
      </c>
      <c r="C393" s="93" t="s">
        <v>1521</v>
      </c>
      <c r="D393" s="110" t="s">
        <v>87</v>
      </c>
      <c r="E393" s="93" t="s">
        <v>107</v>
      </c>
      <c r="F393" s="110" t="s">
        <v>1522</v>
      </c>
      <c r="G393" s="110">
        <v>10</v>
      </c>
      <c r="H393" s="65">
        <f t="shared" si="71"/>
        <v>177</v>
      </c>
      <c r="I393" s="49">
        <f t="shared" si="68"/>
        <v>1770</v>
      </c>
      <c r="J393" s="86">
        <v>0.08</v>
      </c>
      <c r="K393" s="51">
        <f t="shared" si="59"/>
        <v>141.59999999999991</v>
      </c>
      <c r="L393" s="51">
        <f t="shared" si="64"/>
        <v>1911.6</v>
      </c>
      <c r="N393" s="114" t="s">
        <v>1500</v>
      </c>
      <c r="O393" s="121">
        <v>150</v>
      </c>
      <c r="P393" s="115" t="s">
        <v>1501</v>
      </c>
      <c r="Q393" s="115"/>
      <c r="R393" s="128"/>
      <c r="S393" s="52">
        <f t="shared" si="72"/>
        <v>160.5</v>
      </c>
      <c r="T393" s="56">
        <f t="shared" si="60"/>
        <v>1605</v>
      </c>
      <c r="Z393" s="126"/>
      <c r="AA393" s="126"/>
      <c r="AI393" s="122"/>
      <c r="AJ393" s="123"/>
      <c r="AP393" s="121">
        <v>2</v>
      </c>
      <c r="AQ393" s="124">
        <v>0</v>
      </c>
      <c r="AR393" s="124">
        <v>0</v>
      </c>
      <c r="AS393" s="125">
        <v>0</v>
      </c>
    </row>
    <row r="394" spans="2:45" s="121" customFormat="1" ht="11.25">
      <c r="B394" s="93" t="s">
        <v>1523</v>
      </c>
      <c r="C394" s="93" t="s">
        <v>1524</v>
      </c>
      <c r="D394" s="110" t="s">
        <v>87</v>
      </c>
      <c r="E394" s="93" t="s">
        <v>107</v>
      </c>
      <c r="F394" s="110" t="s">
        <v>1525</v>
      </c>
      <c r="G394" s="110">
        <v>5</v>
      </c>
      <c r="H394" s="65">
        <f t="shared" si="71"/>
        <v>188.8</v>
      </c>
      <c r="I394" s="49">
        <f t="shared" si="68"/>
        <v>944</v>
      </c>
      <c r="J394" s="86">
        <v>0.08</v>
      </c>
      <c r="K394" s="51">
        <f t="shared" si="59"/>
        <v>75.519999999999982</v>
      </c>
      <c r="L394" s="51">
        <f t="shared" si="64"/>
        <v>1019.52</v>
      </c>
      <c r="N394" s="114" t="s">
        <v>1500</v>
      </c>
      <c r="O394" s="121">
        <v>160</v>
      </c>
      <c r="P394" s="115" t="s">
        <v>1501</v>
      </c>
      <c r="Q394" s="115"/>
      <c r="R394" s="128"/>
      <c r="S394" s="52">
        <f t="shared" si="72"/>
        <v>171.20000000000002</v>
      </c>
      <c r="T394" s="56">
        <f t="shared" si="60"/>
        <v>856.00000000000011</v>
      </c>
      <c r="Z394" s="126"/>
      <c r="AA394" s="126"/>
      <c r="AI394" s="122"/>
      <c r="AJ394" s="123"/>
      <c r="AQ394" s="124" t="s">
        <v>1526</v>
      </c>
      <c r="AR394" s="125">
        <v>80.881</v>
      </c>
      <c r="AS394" s="125">
        <v>485.286</v>
      </c>
    </row>
    <row r="395" spans="2:45" s="121" customFormat="1" ht="11.25">
      <c r="B395" s="93" t="s">
        <v>1527</v>
      </c>
      <c r="C395" s="93" t="s">
        <v>1528</v>
      </c>
      <c r="D395" s="110" t="s">
        <v>87</v>
      </c>
      <c r="E395" s="93" t="s">
        <v>107</v>
      </c>
      <c r="F395" s="110" t="s">
        <v>1529</v>
      </c>
      <c r="G395" s="110">
        <v>5</v>
      </c>
      <c r="H395" s="65">
        <f t="shared" si="71"/>
        <v>234.82</v>
      </c>
      <c r="I395" s="49">
        <f t="shared" si="68"/>
        <v>1174.0999999999999</v>
      </c>
      <c r="J395" s="86">
        <v>0.08</v>
      </c>
      <c r="K395" s="51">
        <f t="shared" si="59"/>
        <v>93.927999999999884</v>
      </c>
      <c r="L395" s="51">
        <f t="shared" si="64"/>
        <v>1268.0279999999998</v>
      </c>
      <c r="N395" s="121" t="s">
        <v>185</v>
      </c>
      <c r="O395" s="121">
        <v>199</v>
      </c>
      <c r="P395" s="115" t="s">
        <v>1530</v>
      </c>
      <c r="Q395" s="115"/>
      <c r="R395" s="128"/>
      <c r="S395" s="52">
        <f t="shared" si="72"/>
        <v>212.93</v>
      </c>
      <c r="T395" s="56">
        <f t="shared" si="60"/>
        <v>1064.6500000000001</v>
      </c>
      <c r="Z395" s="126"/>
      <c r="AA395" s="126"/>
      <c r="AI395" s="122"/>
      <c r="AJ395" s="123"/>
      <c r="AQ395" s="124" t="s">
        <v>1531</v>
      </c>
      <c r="AR395" s="125">
        <v>73.804999999999993</v>
      </c>
      <c r="AS395" s="125">
        <v>221.41499999999996</v>
      </c>
    </row>
    <row r="396" spans="2:45" s="121" customFormat="1" ht="11.25">
      <c r="B396" s="93" t="s">
        <v>1532</v>
      </c>
      <c r="C396" s="93" t="s">
        <v>1533</v>
      </c>
      <c r="D396" s="110" t="s">
        <v>87</v>
      </c>
      <c r="E396" s="93" t="s">
        <v>107</v>
      </c>
      <c r="F396" s="110" t="s">
        <v>1534</v>
      </c>
      <c r="G396" s="110">
        <v>20</v>
      </c>
      <c r="H396" s="65">
        <f t="shared" si="71"/>
        <v>200.6</v>
      </c>
      <c r="I396" s="49">
        <f t="shared" si="68"/>
        <v>4012</v>
      </c>
      <c r="J396" s="86">
        <v>0.08</v>
      </c>
      <c r="K396" s="51">
        <f t="shared" si="59"/>
        <v>320.96000000000004</v>
      </c>
      <c r="L396" s="51">
        <f t="shared" si="64"/>
        <v>4332.96</v>
      </c>
      <c r="N396" s="121" t="s">
        <v>1500</v>
      </c>
      <c r="O396" s="121">
        <v>170</v>
      </c>
      <c r="P396" s="115" t="s">
        <v>1501</v>
      </c>
      <c r="Q396" s="115"/>
      <c r="R396" s="128"/>
      <c r="S396" s="52">
        <f t="shared" si="72"/>
        <v>181.9</v>
      </c>
      <c r="T396" s="56">
        <f t="shared" si="60"/>
        <v>3638</v>
      </c>
      <c r="Z396" s="126"/>
      <c r="AA396" s="126"/>
      <c r="AI396" s="122"/>
      <c r="AJ396" s="123"/>
      <c r="AQ396" s="124" t="s">
        <v>1535</v>
      </c>
      <c r="AR396" s="125">
        <v>39.759</v>
      </c>
      <c r="AS396" s="125">
        <v>79.518000000000001</v>
      </c>
    </row>
    <row r="397" spans="2:45" s="121" customFormat="1" ht="11.25">
      <c r="B397" s="93" t="s">
        <v>1536</v>
      </c>
      <c r="C397" s="93" t="s">
        <v>1537</v>
      </c>
      <c r="D397" s="110" t="s">
        <v>87</v>
      </c>
      <c r="E397" s="93" t="s">
        <v>107</v>
      </c>
      <c r="F397" s="110" t="s">
        <v>1538</v>
      </c>
      <c r="G397" s="110">
        <v>20</v>
      </c>
      <c r="H397" s="65">
        <f t="shared" si="71"/>
        <v>200.6</v>
      </c>
      <c r="I397" s="49">
        <f t="shared" si="68"/>
        <v>4012</v>
      </c>
      <c r="J397" s="86">
        <v>0.08</v>
      </c>
      <c r="K397" s="51">
        <f t="shared" si="59"/>
        <v>320.96000000000004</v>
      </c>
      <c r="L397" s="51">
        <f t="shared" si="64"/>
        <v>4332.96</v>
      </c>
      <c r="N397" s="121" t="s">
        <v>1500</v>
      </c>
      <c r="O397" s="121">
        <v>170</v>
      </c>
      <c r="P397" s="115" t="s">
        <v>1501</v>
      </c>
      <c r="Q397" s="115"/>
      <c r="R397" s="128"/>
      <c r="S397" s="52">
        <f t="shared" si="72"/>
        <v>181.9</v>
      </c>
      <c r="T397" s="56">
        <f t="shared" si="60"/>
        <v>3638</v>
      </c>
      <c r="Z397" s="126"/>
      <c r="AA397" s="126"/>
      <c r="AI397" s="122"/>
      <c r="AJ397" s="123"/>
      <c r="AQ397" s="124" t="s">
        <v>1539</v>
      </c>
      <c r="AR397" s="125">
        <v>31.464999999999996</v>
      </c>
      <c r="AS397" s="125">
        <v>692.2299999999999</v>
      </c>
    </row>
    <row r="398" spans="2:45" s="121" customFormat="1" ht="11.25">
      <c r="B398" s="93" t="s">
        <v>1540</v>
      </c>
      <c r="C398" s="93" t="s">
        <v>1541</v>
      </c>
      <c r="D398" s="110" t="s">
        <v>87</v>
      </c>
      <c r="E398" s="93" t="s">
        <v>107</v>
      </c>
      <c r="F398" s="110" t="s">
        <v>1542</v>
      </c>
      <c r="G398" s="110">
        <v>5</v>
      </c>
      <c r="H398" s="65">
        <f t="shared" si="71"/>
        <v>345.74</v>
      </c>
      <c r="I398" s="49">
        <f t="shared" si="68"/>
        <v>1728.7</v>
      </c>
      <c r="J398" s="86">
        <v>0.08</v>
      </c>
      <c r="K398" s="51">
        <f t="shared" si="59"/>
        <v>138.29600000000005</v>
      </c>
      <c r="L398" s="51">
        <f t="shared" si="64"/>
        <v>1866.9960000000001</v>
      </c>
      <c r="N398" s="121" t="s">
        <v>134</v>
      </c>
      <c r="O398" s="121">
        <v>293</v>
      </c>
      <c r="P398" s="115" t="s">
        <v>1543</v>
      </c>
      <c r="Q398" s="115"/>
      <c r="R398" s="128"/>
      <c r="S398" s="52">
        <f t="shared" si="72"/>
        <v>313.51</v>
      </c>
      <c r="T398" s="56">
        <f t="shared" si="60"/>
        <v>1567.55</v>
      </c>
      <c r="Z398" s="126"/>
      <c r="AA398" s="126"/>
      <c r="AI398" s="122"/>
      <c r="AJ398" s="123"/>
    </row>
    <row r="399" spans="2:45" s="121" customFormat="1" ht="11.25">
      <c r="B399" s="93" t="s">
        <v>1544</v>
      </c>
      <c r="C399" s="93" t="s">
        <v>1545</v>
      </c>
      <c r="D399" s="110" t="s">
        <v>87</v>
      </c>
      <c r="E399" s="93" t="s">
        <v>107</v>
      </c>
      <c r="F399" s="110" t="s">
        <v>1546</v>
      </c>
      <c r="G399" s="110">
        <v>5</v>
      </c>
      <c r="H399" s="65">
        <f t="shared" si="71"/>
        <v>177</v>
      </c>
      <c r="I399" s="49">
        <f t="shared" si="68"/>
        <v>885</v>
      </c>
      <c r="J399" s="86">
        <v>0.08</v>
      </c>
      <c r="K399" s="51">
        <f t="shared" si="59"/>
        <v>70.799999999999955</v>
      </c>
      <c r="L399" s="51">
        <f t="shared" si="64"/>
        <v>955.8</v>
      </c>
      <c r="N399" s="121" t="s">
        <v>1500</v>
      </c>
      <c r="O399" s="121">
        <v>150</v>
      </c>
      <c r="P399" s="121" t="s">
        <v>1501</v>
      </c>
      <c r="Q399" s="115"/>
      <c r="R399" s="128"/>
      <c r="S399" s="52">
        <f t="shared" si="72"/>
        <v>160.5</v>
      </c>
      <c r="T399" s="56">
        <f t="shared" si="60"/>
        <v>802.5</v>
      </c>
      <c r="Z399" s="126"/>
      <c r="AA399" s="126"/>
      <c r="AI399" s="122"/>
      <c r="AJ399" s="123"/>
    </row>
    <row r="400" spans="2:45" s="121" customFormat="1" ht="11.25">
      <c r="B400" s="93" t="s">
        <v>1547</v>
      </c>
      <c r="C400" s="93" t="s">
        <v>1548</v>
      </c>
      <c r="D400" s="110" t="s">
        <v>87</v>
      </c>
      <c r="E400" s="93" t="s">
        <v>107</v>
      </c>
      <c r="F400" s="110" t="s">
        <v>1549</v>
      </c>
      <c r="G400" s="110">
        <v>5</v>
      </c>
      <c r="H400" s="65">
        <f t="shared" si="71"/>
        <v>217.71</v>
      </c>
      <c r="I400" s="49">
        <f t="shared" si="68"/>
        <v>1088.55</v>
      </c>
      <c r="J400" s="86">
        <v>0.08</v>
      </c>
      <c r="K400" s="51">
        <f t="shared" ref="K400:K413" si="73">L400-I400</f>
        <v>87.08400000000006</v>
      </c>
      <c r="L400" s="51">
        <f t="shared" si="64"/>
        <v>1175.634</v>
      </c>
      <c r="N400" s="121" t="s">
        <v>185</v>
      </c>
      <c r="O400" s="121">
        <v>184.5</v>
      </c>
      <c r="P400" s="115" t="s">
        <v>1530</v>
      </c>
      <c r="Q400" s="115"/>
      <c r="R400" s="128"/>
      <c r="S400" s="52">
        <f t="shared" si="72"/>
        <v>197.41500000000002</v>
      </c>
      <c r="T400" s="56">
        <f t="shared" ref="T400:T413" si="74">S400*G400</f>
        <v>987.07500000000005</v>
      </c>
      <c r="Z400" s="126"/>
      <c r="AA400" s="126"/>
      <c r="AI400" s="122"/>
      <c r="AJ400" s="123"/>
    </row>
    <row r="401" spans="2:36" s="121" customFormat="1" ht="11.25">
      <c r="B401" s="93" t="s">
        <v>1550</v>
      </c>
      <c r="C401" s="93" t="s">
        <v>1551</v>
      </c>
      <c r="D401" s="110" t="s">
        <v>87</v>
      </c>
      <c r="E401" s="93" t="s">
        <v>107</v>
      </c>
      <c r="F401" s="110" t="s">
        <v>1552</v>
      </c>
      <c r="G401" s="110">
        <v>10</v>
      </c>
      <c r="H401" s="65">
        <f t="shared" si="71"/>
        <v>200.6</v>
      </c>
      <c r="I401" s="49">
        <f t="shared" si="68"/>
        <v>2006</v>
      </c>
      <c r="J401" s="86">
        <v>0.08</v>
      </c>
      <c r="K401" s="51">
        <f t="shared" si="73"/>
        <v>160.48000000000002</v>
      </c>
      <c r="L401" s="51">
        <f t="shared" si="64"/>
        <v>2166.48</v>
      </c>
      <c r="N401" s="121" t="s">
        <v>1500</v>
      </c>
      <c r="O401" s="121">
        <v>170</v>
      </c>
      <c r="P401" s="121" t="s">
        <v>1501</v>
      </c>
      <c r="Q401" s="115"/>
      <c r="R401" s="128"/>
      <c r="S401" s="52">
        <f t="shared" si="72"/>
        <v>181.9</v>
      </c>
      <c r="T401" s="56">
        <f t="shared" si="74"/>
        <v>1819</v>
      </c>
      <c r="Z401" s="126"/>
      <c r="AA401" s="126"/>
      <c r="AI401" s="122"/>
      <c r="AJ401" s="123"/>
    </row>
    <row r="402" spans="2:36" s="121" customFormat="1" ht="11.25">
      <c r="B402" s="93" t="s">
        <v>1553</v>
      </c>
      <c r="C402" s="93" t="s">
        <v>1554</v>
      </c>
      <c r="D402" s="110" t="s">
        <v>87</v>
      </c>
      <c r="E402" s="93" t="s">
        <v>107</v>
      </c>
      <c r="F402" s="110" t="s">
        <v>1555</v>
      </c>
      <c r="G402" s="110">
        <v>10</v>
      </c>
      <c r="H402" s="65">
        <f t="shared" si="71"/>
        <v>177</v>
      </c>
      <c r="I402" s="49">
        <f t="shared" si="68"/>
        <v>1770</v>
      </c>
      <c r="J402" s="86">
        <v>0.08</v>
      </c>
      <c r="K402" s="51">
        <f t="shared" si="73"/>
        <v>141.59999999999991</v>
      </c>
      <c r="L402" s="51">
        <f t="shared" si="64"/>
        <v>1911.6</v>
      </c>
      <c r="N402" s="121" t="s">
        <v>1500</v>
      </c>
      <c r="O402" s="121">
        <v>150</v>
      </c>
      <c r="P402" s="121" t="s">
        <v>1501</v>
      </c>
      <c r="Q402" s="115"/>
      <c r="R402" s="128"/>
      <c r="S402" s="52">
        <f t="shared" si="72"/>
        <v>160.5</v>
      </c>
      <c r="T402" s="56">
        <f t="shared" si="74"/>
        <v>1605</v>
      </c>
      <c r="Z402" s="126"/>
      <c r="AA402" s="126"/>
      <c r="AI402" s="122"/>
      <c r="AJ402" s="123"/>
    </row>
    <row r="403" spans="2:36" s="121" customFormat="1" ht="11.25">
      <c r="B403" s="93" t="s">
        <v>1556</v>
      </c>
      <c r="C403" s="93" t="s">
        <v>1557</v>
      </c>
      <c r="D403" s="110" t="s">
        <v>87</v>
      </c>
      <c r="E403" s="93" t="s">
        <v>107</v>
      </c>
      <c r="F403" s="110" t="s">
        <v>1558</v>
      </c>
      <c r="G403" s="110">
        <v>5</v>
      </c>
      <c r="H403" s="65">
        <f t="shared" si="71"/>
        <v>272.58</v>
      </c>
      <c r="I403" s="49">
        <f t="shared" si="68"/>
        <v>1362.8999999999999</v>
      </c>
      <c r="J403" s="86">
        <v>0.08</v>
      </c>
      <c r="K403" s="51">
        <f t="shared" si="73"/>
        <v>109.03199999999993</v>
      </c>
      <c r="L403" s="51">
        <f t="shared" si="64"/>
        <v>1471.9319999999998</v>
      </c>
      <c r="N403" s="121" t="s">
        <v>185</v>
      </c>
      <c r="O403" s="121">
        <v>231</v>
      </c>
      <c r="P403" s="115" t="s">
        <v>1530</v>
      </c>
      <c r="Q403" s="115"/>
      <c r="R403" s="128"/>
      <c r="S403" s="52">
        <f t="shared" si="72"/>
        <v>247.17000000000002</v>
      </c>
      <c r="T403" s="56">
        <f t="shared" si="74"/>
        <v>1235.8500000000001</v>
      </c>
      <c r="Z403" s="126"/>
      <c r="AA403" s="126"/>
      <c r="AI403" s="122"/>
      <c r="AJ403" s="123"/>
    </row>
    <row r="404" spans="2:36" s="121" customFormat="1" ht="11.25">
      <c r="B404" s="93" t="s">
        <v>1559</v>
      </c>
      <c r="C404" s="93" t="s">
        <v>1560</v>
      </c>
      <c r="D404" s="110" t="s">
        <v>87</v>
      </c>
      <c r="E404" s="93" t="s">
        <v>107</v>
      </c>
      <c r="F404" s="110" t="s">
        <v>1561</v>
      </c>
      <c r="G404" s="110">
        <v>10</v>
      </c>
      <c r="H404" s="65">
        <f t="shared" si="71"/>
        <v>259.60000000000002</v>
      </c>
      <c r="I404" s="49">
        <f t="shared" si="68"/>
        <v>2596</v>
      </c>
      <c r="J404" s="86">
        <v>0.08</v>
      </c>
      <c r="K404" s="51">
        <f t="shared" si="73"/>
        <v>207.67999999999984</v>
      </c>
      <c r="L404" s="51">
        <f t="shared" si="64"/>
        <v>2803.68</v>
      </c>
      <c r="N404" s="121" t="s">
        <v>1500</v>
      </c>
      <c r="O404" s="121">
        <v>220</v>
      </c>
      <c r="P404" s="121" t="s">
        <v>1501</v>
      </c>
      <c r="Q404" s="115"/>
      <c r="R404" s="128"/>
      <c r="S404" s="52">
        <f t="shared" si="72"/>
        <v>235.4</v>
      </c>
      <c r="T404" s="56">
        <f t="shared" si="74"/>
        <v>2354</v>
      </c>
      <c r="Z404" s="126"/>
      <c r="AA404" s="126"/>
      <c r="AI404" s="122"/>
      <c r="AJ404" s="123"/>
    </row>
    <row r="405" spans="2:36" s="121" customFormat="1" ht="11.25">
      <c r="B405" s="93" t="s">
        <v>1562</v>
      </c>
      <c r="C405" s="93" t="s">
        <v>1563</v>
      </c>
      <c r="D405" s="129" t="s">
        <v>87</v>
      </c>
      <c r="E405" s="93" t="s">
        <v>107</v>
      </c>
      <c r="F405" s="110" t="s">
        <v>1564</v>
      </c>
      <c r="G405" s="110">
        <v>10</v>
      </c>
      <c r="H405" s="65">
        <f t="shared" si="71"/>
        <v>212.4</v>
      </c>
      <c r="I405" s="49">
        <f t="shared" si="68"/>
        <v>2124</v>
      </c>
      <c r="J405" s="86">
        <v>0.08</v>
      </c>
      <c r="K405" s="51">
        <f t="shared" si="73"/>
        <v>169.92000000000007</v>
      </c>
      <c r="L405" s="51">
        <f t="shared" si="64"/>
        <v>2293.92</v>
      </c>
      <c r="M405" s="130" t="s">
        <v>1565</v>
      </c>
      <c r="N405" s="121" t="s">
        <v>185</v>
      </c>
      <c r="O405" s="121">
        <f>36*5</f>
        <v>180</v>
      </c>
      <c r="P405" s="115" t="s">
        <v>1530</v>
      </c>
      <c r="Q405" s="115"/>
      <c r="R405" s="128"/>
      <c r="S405" s="52">
        <f t="shared" si="72"/>
        <v>192.60000000000002</v>
      </c>
      <c r="T405" s="56">
        <f t="shared" si="74"/>
        <v>1926.0000000000002</v>
      </c>
      <c r="Z405" s="126"/>
      <c r="AA405" s="126"/>
      <c r="AI405" s="122"/>
      <c r="AJ405" s="123"/>
    </row>
    <row r="406" spans="2:36" s="121" customFormat="1" ht="11.25">
      <c r="B406" s="93" t="s">
        <v>1566</v>
      </c>
      <c r="C406" s="93" t="s">
        <v>1567</v>
      </c>
      <c r="D406" s="110" t="s">
        <v>87</v>
      </c>
      <c r="E406" s="93" t="s">
        <v>107</v>
      </c>
      <c r="F406" s="110" t="s">
        <v>1568</v>
      </c>
      <c r="G406" s="110">
        <v>5</v>
      </c>
      <c r="H406" s="65">
        <f t="shared" si="71"/>
        <v>247.8</v>
      </c>
      <c r="I406" s="49">
        <f t="shared" si="68"/>
        <v>1239</v>
      </c>
      <c r="J406" s="86">
        <v>0.08</v>
      </c>
      <c r="K406" s="51">
        <f t="shared" si="73"/>
        <v>99.119999999999891</v>
      </c>
      <c r="L406" s="51">
        <f t="shared" si="64"/>
        <v>1338.12</v>
      </c>
      <c r="N406" s="121" t="s">
        <v>1500</v>
      </c>
      <c r="O406" s="121">
        <v>210</v>
      </c>
      <c r="P406" s="121" t="s">
        <v>1501</v>
      </c>
      <c r="Q406" s="115"/>
      <c r="R406" s="128"/>
      <c r="S406" s="52">
        <f t="shared" si="72"/>
        <v>224.70000000000002</v>
      </c>
      <c r="T406" s="56">
        <f t="shared" si="74"/>
        <v>1123.5</v>
      </c>
      <c r="Z406" s="126"/>
      <c r="AA406" s="126"/>
      <c r="AI406" s="122"/>
      <c r="AJ406" s="123"/>
    </row>
    <row r="407" spans="2:36" s="121" customFormat="1" ht="11.25">
      <c r="B407" s="93" t="s">
        <v>1569</v>
      </c>
      <c r="C407" s="93" t="s">
        <v>1570</v>
      </c>
      <c r="D407" s="110" t="s">
        <v>87</v>
      </c>
      <c r="E407" s="93" t="s">
        <v>107</v>
      </c>
      <c r="F407" s="110" t="s">
        <v>1571</v>
      </c>
      <c r="G407" s="110">
        <v>5</v>
      </c>
      <c r="H407" s="65">
        <f t="shared" si="71"/>
        <v>200.6</v>
      </c>
      <c r="I407" s="49">
        <f t="shared" si="68"/>
        <v>1003</v>
      </c>
      <c r="J407" s="86">
        <v>0.08</v>
      </c>
      <c r="K407" s="51">
        <f t="shared" si="73"/>
        <v>80.240000000000009</v>
      </c>
      <c r="L407" s="51">
        <f t="shared" ref="L407:L413" si="75">I407+I407*J407</f>
        <v>1083.24</v>
      </c>
      <c r="N407" s="121" t="s">
        <v>1500</v>
      </c>
      <c r="O407" s="121">
        <v>170</v>
      </c>
      <c r="P407" s="121" t="s">
        <v>1501</v>
      </c>
      <c r="Q407" s="115"/>
      <c r="R407" s="128"/>
      <c r="S407" s="52">
        <f t="shared" si="72"/>
        <v>181.9</v>
      </c>
      <c r="T407" s="56">
        <f t="shared" si="74"/>
        <v>909.5</v>
      </c>
      <c r="Z407" s="126"/>
      <c r="AA407" s="126"/>
      <c r="AI407" s="122"/>
      <c r="AJ407" s="123"/>
    </row>
    <row r="408" spans="2:36" s="121" customFormat="1" ht="11.25">
      <c r="B408" s="93" t="s">
        <v>1572</v>
      </c>
      <c r="C408" s="93" t="s">
        <v>1573</v>
      </c>
      <c r="D408" s="110" t="s">
        <v>87</v>
      </c>
      <c r="E408" s="93" t="s">
        <v>107</v>
      </c>
      <c r="F408" s="110" t="s">
        <v>1574</v>
      </c>
      <c r="G408" s="110">
        <v>5</v>
      </c>
      <c r="H408" s="65">
        <f t="shared" si="71"/>
        <v>244.26</v>
      </c>
      <c r="I408" s="49">
        <f t="shared" si="68"/>
        <v>1221.3</v>
      </c>
      <c r="J408" s="86">
        <v>0.08</v>
      </c>
      <c r="K408" s="51">
        <f t="shared" si="73"/>
        <v>97.703999999999951</v>
      </c>
      <c r="L408" s="51">
        <f t="shared" si="75"/>
        <v>1319.0039999999999</v>
      </c>
      <c r="N408" s="121" t="s">
        <v>185</v>
      </c>
      <c r="O408" s="121">
        <v>207</v>
      </c>
      <c r="P408" s="115" t="s">
        <v>1530</v>
      </c>
      <c r="Q408" s="115"/>
      <c r="R408" s="128"/>
      <c r="S408" s="52">
        <f t="shared" si="72"/>
        <v>221.49</v>
      </c>
      <c r="T408" s="56">
        <f t="shared" si="74"/>
        <v>1107.45</v>
      </c>
      <c r="Z408" s="126"/>
      <c r="AA408" s="126"/>
      <c r="AI408" s="122"/>
      <c r="AJ408" s="123"/>
    </row>
    <row r="409" spans="2:36" s="121" customFormat="1" ht="11.25">
      <c r="B409" s="93" t="s">
        <v>1575</v>
      </c>
      <c r="C409" s="93" t="s">
        <v>1576</v>
      </c>
      <c r="D409" s="110" t="s">
        <v>87</v>
      </c>
      <c r="E409" s="93" t="s">
        <v>107</v>
      </c>
      <c r="F409" s="110" t="s">
        <v>1577</v>
      </c>
      <c r="G409" s="110">
        <v>5</v>
      </c>
      <c r="H409" s="65">
        <f t="shared" si="71"/>
        <v>219.48</v>
      </c>
      <c r="I409" s="49">
        <f t="shared" si="68"/>
        <v>1097.3999999999999</v>
      </c>
      <c r="J409" s="86">
        <v>0.08</v>
      </c>
      <c r="K409" s="51">
        <f t="shared" si="73"/>
        <v>87.791999999999916</v>
      </c>
      <c r="L409" s="51">
        <f t="shared" si="75"/>
        <v>1185.1919999999998</v>
      </c>
      <c r="N409" s="121" t="s">
        <v>185</v>
      </c>
      <c r="O409" s="121">
        <v>186</v>
      </c>
      <c r="P409" s="115" t="s">
        <v>1530</v>
      </c>
      <c r="Q409" s="115"/>
      <c r="R409" s="128"/>
      <c r="S409" s="52">
        <f t="shared" si="72"/>
        <v>199.02</v>
      </c>
      <c r="T409" s="56">
        <f t="shared" si="74"/>
        <v>995.1</v>
      </c>
      <c r="Z409" s="126"/>
      <c r="AA409" s="126"/>
      <c r="AI409" s="122"/>
      <c r="AJ409" s="123"/>
    </row>
    <row r="410" spans="2:36" s="121" customFormat="1" ht="22.5">
      <c r="B410" s="93" t="s">
        <v>1578</v>
      </c>
      <c r="C410" s="93" t="s">
        <v>1579</v>
      </c>
      <c r="D410" s="110" t="s">
        <v>1350</v>
      </c>
      <c r="E410" s="93" t="s">
        <v>107</v>
      </c>
      <c r="F410" s="110" t="s">
        <v>1580</v>
      </c>
      <c r="G410" s="110">
        <v>5</v>
      </c>
      <c r="H410" s="65">
        <f t="shared" si="71"/>
        <v>82.6</v>
      </c>
      <c r="I410" s="49">
        <f t="shared" si="68"/>
        <v>413</v>
      </c>
      <c r="J410" s="86">
        <v>0.08</v>
      </c>
      <c r="K410" s="51">
        <f t="shared" si="73"/>
        <v>33.04000000000002</v>
      </c>
      <c r="L410" s="51">
        <f t="shared" si="75"/>
        <v>446.04</v>
      </c>
      <c r="N410" s="121" t="s">
        <v>1500</v>
      </c>
      <c r="O410" s="121">
        <v>70</v>
      </c>
      <c r="P410" s="115" t="s">
        <v>1501</v>
      </c>
      <c r="Q410" s="115"/>
      <c r="R410" s="128"/>
      <c r="S410" s="52">
        <f t="shared" si="72"/>
        <v>74.900000000000006</v>
      </c>
      <c r="T410" s="56">
        <f t="shared" si="74"/>
        <v>374.5</v>
      </c>
      <c r="Z410" s="126"/>
      <c r="AA410" s="126"/>
      <c r="AI410" s="122"/>
      <c r="AJ410" s="123"/>
    </row>
    <row r="411" spans="2:36" s="121" customFormat="1" ht="11.25">
      <c r="B411" s="93" t="s">
        <v>1581</v>
      </c>
      <c r="C411" s="93" t="s">
        <v>1582</v>
      </c>
      <c r="D411" s="110" t="s">
        <v>87</v>
      </c>
      <c r="E411" s="93" t="s">
        <v>107</v>
      </c>
      <c r="F411" s="110" t="s">
        <v>1583</v>
      </c>
      <c r="G411" s="110">
        <v>5</v>
      </c>
      <c r="H411" s="65">
        <f t="shared" si="71"/>
        <v>257.24</v>
      </c>
      <c r="I411" s="49">
        <f t="shared" si="68"/>
        <v>1286.2</v>
      </c>
      <c r="J411" s="86">
        <v>0.08</v>
      </c>
      <c r="K411" s="51">
        <f t="shared" si="73"/>
        <v>102.89599999999996</v>
      </c>
      <c r="L411" s="51">
        <f t="shared" si="75"/>
        <v>1389.096</v>
      </c>
      <c r="N411" s="121" t="s">
        <v>185</v>
      </c>
      <c r="O411" s="121">
        <v>218</v>
      </c>
      <c r="P411" s="115" t="s">
        <v>1530</v>
      </c>
      <c r="Q411" s="115"/>
      <c r="R411" s="128"/>
      <c r="S411" s="52">
        <f t="shared" si="72"/>
        <v>233.26000000000002</v>
      </c>
      <c r="T411" s="56">
        <f t="shared" si="74"/>
        <v>1166.3000000000002</v>
      </c>
      <c r="Z411" s="126"/>
      <c r="AA411" s="126"/>
      <c r="AI411" s="122"/>
      <c r="AJ411" s="123"/>
    </row>
    <row r="412" spans="2:36" s="121" customFormat="1" ht="11.25">
      <c r="B412" s="93" t="s">
        <v>1584</v>
      </c>
      <c r="C412" s="93" t="s">
        <v>1585</v>
      </c>
      <c r="D412" s="110" t="s">
        <v>87</v>
      </c>
      <c r="E412" s="93" t="s">
        <v>107</v>
      </c>
      <c r="F412" s="110" t="s">
        <v>1586</v>
      </c>
      <c r="G412" s="110">
        <v>5</v>
      </c>
      <c r="H412" s="65">
        <f t="shared" si="71"/>
        <v>228.33</v>
      </c>
      <c r="I412" s="49">
        <f t="shared" si="68"/>
        <v>1141.6500000000001</v>
      </c>
      <c r="J412" s="86">
        <v>0.08</v>
      </c>
      <c r="K412" s="51">
        <f t="shared" si="73"/>
        <v>91.332000000000107</v>
      </c>
      <c r="L412" s="51">
        <f t="shared" si="75"/>
        <v>1232.9820000000002</v>
      </c>
      <c r="N412" s="121" t="s">
        <v>185</v>
      </c>
      <c r="O412" s="121">
        <v>193.5</v>
      </c>
      <c r="P412" s="115" t="s">
        <v>1530</v>
      </c>
      <c r="Q412" s="115"/>
      <c r="R412" s="128"/>
      <c r="S412" s="52">
        <f t="shared" si="72"/>
        <v>207.04500000000002</v>
      </c>
      <c r="T412" s="56">
        <f t="shared" si="74"/>
        <v>1035.2250000000001</v>
      </c>
      <c r="Z412" s="126"/>
      <c r="AA412" s="126"/>
      <c r="AI412" s="122"/>
      <c r="AJ412" s="123"/>
    </row>
    <row r="413" spans="2:36" s="121" customFormat="1" ht="11.25">
      <c r="B413" s="131"/>
      <c r="C413" s="131"/>
      <c r="D413" s="132"/>
      <c r="E413" s="131"/>
      <c r="F413" s="132"/>
      <c r="G413" s="132"/>
      <c r="H413" s="131"/>
      <c r="I413" s="133">
        <f>SUM(I10:I412)</f>
        <v>346217.78999999986</v>
      </c>
      <c r="J413" s="134"/>
      <c r="K413" s="134"/>
      <c r="L413" s="133">
        <f>SUM(L10:L412)</f>
        <v>418793.24969999987</v>
      </c>
      <c r="P413" s="115"/>
      <c r="Q413" s="115"/>
      <c r="R413" s="128"/>
      <c r="T413" s="135">
        <f>SUM(T10:T412)</f>
        <v>358880.35999999993</v>
      </c>
      <c r="Z413" s="126"/>
      <c r="AA413" s="126"/>
      <c r="AI413" s="122"/>
      <c r="AJ413" s="123"/>
    </row>
    <row r="414" spans="2:36" s="121" customFormat="1" ht="11.25">
      <c r="B414" s="131"/>
      <c r="C414" s="131"/>
      <c r="D414" s="132"/>
      <c r="E414" s="131"/>
      <c r="F414" s="132"/>
      <c r="G414" s="132"/>
      <c r="H414" s="131"/>
      <c r="I414" s="131"/>
      <c r="J414" s="134"/>
      <c r="K414" s="134"/>
      <c r="L414" s="134"/>
      <c r="M414" s="114"/>
      <c r="P414" s="115"/>
      <c r="Q414" s="115"/>
      <c r="R414" s="128"/>
      <c r="T414" s="130"/>
      <c r="Z414" s="126"/>
      <c r="AA414" s="126"/>
      <c r="AI414" s="122"/>
      <c r="AJ414" s="123"/>
    </row>
    <row r="415" spans="2:36" s="121" customFormat="1" ht="11.25">
      <c r="B415" s="131"/>
      <c r="C415" s="131"/>
      <c r="D415" s="132"/>
      <c r="E415" s="131"/>
      <c r="F415" s="132"/>
      <c r="G415" s="132"/>
      <c r="H415" s="131"/>
      <c r="I415" s="131"/>
      <c r="J415" s="134"/>
      <c r="K415" s="134"/>
      <c r="L415" s="134"/>
      <c r="P415" s="115"/>
      <c r="Q415" s="115"/>
      <c r="R415" s="128"/>
      <c r="T415" s="130"/>
      <c r="Z415" s="126"/>
      <c r="AA415" s="126"/>
      <c r="AI415" s="122"/>
      <c r="AJ415" s="123"/>
    </row>
    <row r="416" spans="2:36" s="121" customFormat="1" ht="11.25">
      <c r="B416" s="136" t="s">
        <v>1587</v>
      </c>
      <c r="H416" s="137"/>
      <c r="P416" s="115"/>
      <c r="Q416" s="115"/>
      <c r="R416" s="128"/>
      <c r="T416" s="130"/>
      <c r="Z416" s="126"/>
      <c r="AA416" s="126"/>
      <c r="AI416" s="122"/>
      <c r="AJ416" s="123"/>
    </row>
    <row r="417" spans="2:36" s="121" customFormat="1" ht="11.25">
      <c r="B417" s="136" t="s">
        <v>1588</v>
      </c>
      <c r="H417" s="137"/>
      <c r="P417" s="115"/>
      <c r="Q417" s="115"/>
      <c r="R417" s="128"/>
      <c r="T417" s="130"/>
      <c r="Z417" s="126"/>
      <c r="AA417" s="126"/>
      <c r="AI417" s="122"/>
      <c r="AJ417" s="123"/>
    </row>
    <row r="418" spans="2:36" s="121" customFormat="1" ht="11.25">
      <c r="B418" s="136" t="s">
        <v>1589</v>
      </c>
      <c r="H418" s="137"/>
      <c r="P418" s="115"/>
      <c r="Q418" s="115"/>
      <c r="R418" s="128"/>
      <c r="T418" s="130"/>
      <c r="Z418" s="126"/>
      <c r="AA418" s="126"/>
      <c r="AI418" s="122"/>
      <c r="AJ418" s="123"/>
    </row>
    <row r="419" spans="2:36" s="121" customFormat="1" ht="11.25">
      <c r="B419" s="136"/>
      <c r="H419" s="137"/>
      <c r="P419" s="115"/>
      <c r="Q419" s="115"/>
      <c r="R419" s="128"/>
      <c r="T419" s="130"/>
      <c r="Z419" s="126"/>
      <c r="AA419" s="126"/>
      <c r="AI419" s="122"/>
      <c r="AJ419" s="123"/>
    </row>
    <row r="420" spans="2:36" s="121" customFormat="1" ht="11.25">
      <c r="B420" s="138" t="s">
        <v>1590</v>
      </c>
      <c r="H420" s="137"/>
      <c r="P420" s="115"/>
      <c r="Q420" s="115"/>
      <c r="R420" s="128"/>
      <c r="T420" s="130"/>
      <c r="Z420" s="126"/>
      <c r="AA420" s="126"/>
      <c r="AI420" s="122"/>
      <c r="AJ420" s="123"/>
    </row>
    <row r="434" spans="8:36" ht="44.25" customHeight="1">
      <c r="H434"/>
      <c r="P434"/>
      <c r="Q434"/>
      <c r="R434"/>
      <c r="T434"/>
      <c r="Z434"/>
      <c r="AA434"/>
      <c r="AI434"/>
      <c r="AJ434"/>
    </row>
  </sheetData>
  <mergeCells count="7">
    <mergeCell ref="C4:I4"/>
    <mergeCell ref="B5:L5"/>
    <mergeCell ref="D7:E7"/>
    <mergeCell ref="J7:K7"/>
    <mergeCell ref="D8:E8"/>
    <mergeCell ref="J8:K8"/>
    <mergeCell ref="J9:K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294"/>
  <sheetViews>
    <sheetView workbookViewId="0">
      <selection activeCell="K2" sqref="K2"/>
    </sheetView>
  </sheetViews>
  <sheetFormatPr defaultRowHeight="15"/>
  <cols>
    <col min="2" max="2" width="6" customWidth="1"/>
    <col min="3" max="3" width="46" customWidth="1"/>
    <col min="4" max="4" width="9.85546875" customWidth="1"/>
    <col min="5" max="5" width="8" customWidth="1"/>
    <col min="6" max="6" width="7.7109375" customWidth="1"/>
    <col min="8" max="8" width="9.5703125" bestFit="1" customWidth="1"/>
    <col min="11" max="11" width="11.42578125" customWidth="1"/>
  </cols>
  <sheetData>
    <row r="5" spans="2:11" ht="15.75">
      <c r="B5" s="418" t="s">
        <v>1591</v>
      </c>
      <c r="C5" s="418"/>
      <c r="D5" s="418"/>
      <c r="E5" s="418"/>
      <c r="F5" s="418"/>
      <c r="G5" s="418"/>
      <c r="H5" s="418"/>
      <c r="I5" s="418"/>
      <c r="J5" s="418"/>
      <c r="K5" s="418"/>
    </row>
    <row r="6" spans="2:11">
      <c r="B6" s="139"/>
      <c r="C6" s="140"/>
      <c r="D6" s="140"/>
      <c r="E6" s="140"/>
      <c r="F6" s="140"/>
      <c r="G6" s="141"/>
      <c r="H6" s="140"/>
      <c r="I6" s="140"/>
      <c r="J6" s="140"/>
      <c r="K6" s="140"/>
    </row>
    <row r="7" spans="2:11" ht="15.75" thickBot="1">
      <c r="B7" s="142"/>
      <c r="C7" s="142"/>
      <c r="D7" s="142"/>
      <c r="E7" s="142"/>
      <c r="F7" s="142"/>
      <c r="G7" s="142"/>
      <c r="H7" s="142"/>
      <c r="I7" s="142"/>
      <c r="J7" s="142"/>
      <c r="K7" s="142"/>
    </row>
    <row r="8" spans="2:11" ht="39" thickBot="1">
      <c r="B8" s="143" t="s">
        <v>1592</v>
      </c>
      <c r="C8" s="144" t="s">
        <v>1593</v>
      </c>
      <c r="D8" s="145" t="s">
        <v>1594</v>
      </c>
      <c r="E8" s="146"/>
      <c r="F8" s="144" t="s">
        <v>1595</v>
      </c>
      <c r="G8" s="147" t="s">
        <v>1596</v>
      </c>
      <c r="H8" s="148" t="s">
        <v>1597</v>
      </c>
      <c r="I8" s="145" t="s">
        <v>1598</v>
      </c>
      <c r="J8" s="146"/>
      <c r="K8" s="148" t="s">
        <v>1599</v>
      </c>
    </row>
    <row r="9" spans="2:11" ht="25.5">
      <c r="B9" s="149" t="s">
        <v>12</v>
      </c>
      <c r="C9" s="150" t="s">
        <v>13</v>
      </c>
      <c r="D9" s="151" t="s">
        <v>1600</v>
      </c>
      <c r="E9" s="152"/>
      <c r="F9" s="150" t="s">
        <v>16</v>
      </c>
      <c r="G9" s="153" t="s">
        <v>1601</v>
      </c>
      <c r="H9" s="154" t="s">
        <v>18</v>
      </c>
      <c r="I9" s="151" t="s">
        <v>1602</v>
      </c>
      <c r="J9" s="152"/>
      <c r="K9" s="154" t="s">
        <v>20</v>
      </c>
    </row>
    <row r="10" spans="2:11" ht="25.5">
      <c r="B10" s="155"/>
      <c r="C10" s="156"/>
      <c r="D10" s="157" t="s">
        <v>1603</v>
      </c>
      <c r="E10" s="158"/>
      <c r="F10" s="156"/>
      <c r="G10" s="153" t="s">
        <v>1604</v>
      </c>
      <c r="H10" s="159"/>
      <c r="I10" s="160"/>
      <c r="J10" s="161"/>
      <c r="K10" s="159"/>
    </row>
    <row r="11" spans="2:11">
      <c r="B11" s="162" t="s">
        <v>45</v>
      </c>
      <c r="C11" s="163" t="s">
        <v>1605</v>
      </c>
      <c r="D11" s="164" t="s">
        <v>1606</v>
      </c>
      <c r="E11" s="164" t="s">
        <v>708</v>
      </c>
      <c r="F11" s="165">
        <v>10</v>
      </c>
      <c r="G11" s="166">
        <f>ROUND(S11*1.11,2)</f>
        <v>0</v>
      </c>
      <c r="H11" s="167">
        <f>G11*F11</f>
        <v>0</v>
      </c>
      <c r="I11" s="168">
        <v>0.23</v>
      </c>
      <c r="J11" s="167">
        <f>K11-H11</f>
        <v>0</v>
      </c>
      <c r="K11" s="167">
        <f>H11+H11*I11</f>
        <v>0</v>
      </c>
    </row>
    <row r="12" spans="2:11">
      <c r="B12" s="162" t="s">
        <v>54</v>
      </c>
      <c r="C12" s="163" t="s">
        <v>1607</v>
      </c>
      <c r="D12" s="169" t="s">
        <v>1608</v>
      </c>
      <c r="E12" s="164" t="s">
        <v>708</v>
      </c>
      <c r="F12" s="165">
        <v>10</v>
      </c>
      <c r="G12" s="166">
        <f t="shared" ref="G12:G14" si="0">ROUND(S12*1.11,2)</f>
        <v>0</v>
      </c>
      <c r="H12" s="167">
        <f t="shared" ref="H12:H75" si="1">G12*F12</f>
        <v>0</v>
      </c>
      <c r="I12" s="168">
        <v>0.23</v>
      </c>
      <c r="J12" s="167">
        <f t="shared" ref="J12:J82" si="2">K12-H12</f>
        <v>0</v>
      </c>
      <c r="K12" s="167">
        <f t="shared" ref="K12:K82" si="3">H12+H12*I12</f>
        <v>0</v>
      </c>
    </row>
    <row r="13" spans="2:11">
      <c r="B13" s="162" t="s">
        <v>61</v>
      </c>
      <c r="C13" s="163" t="s">
        <v>1609</v>
      </c>
      <c r="D13" s="164" t="s">
        <v>1610</v>
      </c>
      <c r="E13" s="164" t="s">
        <v>708</v>
      </c>
      <c r="F13" s="165">
        <v>10</v>
      </c>
      <c r="G13" s="166">
        <f t="shared" si="0"/>
        <v>0</v>
      </c>
      <c r="H13" s="167">
        <f t="shared" si="1"/>
        <v>0</v>
      </c>
      <c r="I13" s="168">
        <v>0.23</v>
      </c>
      <c r="J13" s="167">
        <f t="shared" si="2"/>
        <v>0</v>
      </c>
      <c r="K13" s="167">
        <f t="shared" si="3"/>
        <v>0</v>
      </c>
    </row>
    <row r="14" spans="2:11">
      <c r="B14" s="162" t="s">
        <v>65</v>
      </c>
      <c r="C14" s="163" t="s">
        <v>1611</v>
      </c>
      <c r="D14" s="164" t="s">
        <v>1612</v>
      </c>
      <c r="E14" s="164" t="s">
        <v>708</v>
      </c>
      <c r="F14" s="165">
        <v>10</v>
      </c>
      <c r="G14" s="166">
        <f t="shared" si="0"/>
        <v>0</v>
      </c>
      <c r="H14" s="167">
        <f t="shared" si="1"/>
        <v>0</v>
      </c>
      <c r="I14" s="168">
        <v>0.23</v>
      </c>
      <c r="J14" s="167">
        <f t="shared" si="2"/>
        <v>0</v>
      </c>
      <c r="K14" s="167">
        <f t="shared" si="3"/>
        <v>0</v>
      </c>
    </row>
    <row r="15" spans="2:11" ht="25.5">
      <c r="B15" s="162" t="s">
        <v>71</v>
      </c>
      <c r="C15" s="170" t="s">
        <v>1613</v>
      </c>
      <c r="D15" s="164" t="s">
        <v>1614</v>
      </c>
      <c r="E15" s="171" t="s">
        <v>708</v>
      </c>
      <c r="F15" s="172">
        <v>34</v>
      </c>
      <c r="G15" s="166">
        <v>5.55</v>
      </c>
      <c r="H15" s="167">
        <f t="shared" si="1"/>
        <v>188.7</v>
      </c>
      <c r="I15" s="173">
        <v>0.23</v>
      </c>
      <c r="J15" s="174">
        <f t="shared" si="2"/>
        <v>43.40100000000001</v>
      </c>
      <c r="K15" s="174">
        <f t="shared" si="3"/>
        <v>232.101</v>
      </c>
    </row>
    <row r="16" spans="2:11">
      <c r="B16" s="175" t="s">
        <v>76</v>
      </c>
      <c r="C16" s="170" t="s">
        <v>1615</v>
      </c>
      <c r="D16" s="176" t="s">
        <v>1616</v>
      </c>
      <c r="E16" s="176" t="s">
        <v>1617</v>
      </c>
      <c r="F16" s="177">
        <v>80</v>
      </c>
      <c r="G16" s="178">
        <f>ROUND(S16*1.15,2)</f>
        <v>0</v>
      </c>
      <c r="H16" s="174">
        <f t="shared" si="1"/>
        <v>0</v>
      </c>
      <c r="I16" s="173">
        <v>0.08</v>
      </c>
      <c r="J16" s="174">
        <f t="shared" si="2"/>
        <v>0</v>
      </c>
      <c r="K16" s="174">
        <f t="shared" si="3"/>
        <v>0</v>
      </c>
    </row>
    <row r="17" spans="2:11">
      <c r="B17" s="175" t="s">
        <v>85</v>
      </c>
      <c r="C17" s="170" t="s">
        <v>1618</v>
      </c>
      <c r="D17" s="176" t="s">
        <v>1619</v>
      </c>
      <c r="E17" s="176" t="s">
        <v>1617</v>
      </c>
      <c r="F17" s="177">
        <v>80</v>
      </c>
      <c r="G17" s="178">
        <f t="shared" ref="G17:G19" si="4">ROUND(S17*1.15,2)</f>
        <v>0</v>
      </c>
      <c r="H17" s="174">
        <f t="shared" si="1"/>
        <v>0</v>
      </c>
      <c r="I17" s="173">
        <v>0.08</v>
      </c>
      <c r="J17" s="174">
        <f t="shared" si="2"/>
        <v>0</v>
      </c>
      <c r="K17" s="174">
        <f t="shared" si="3"/>
        <v>0</v>
      </c>
    </row>
    <row r="18" spans="2:11">
      <c r="B18" s="175" t="s">
        <v>94</v>
      </c>
      <c r="C18" s="170" t="s">
        <v>1620</v>
      </c>
      <c r="D18" s="176" t="s">
        <v>1619</v>
      </c>
      <c r="E18" s="176" t="s">
        <v>1617</v>
      </c>
      <c r="F18" s="177">
        <v>80</v>
      </c>
      <c r="G18" s="178">
        <f t="shared" si="4"/>
        <v>0</v>
      </c>
      <c r="H18" s="174">
        <f t="shared" si="1"/>
        <v>0</v>
      </c>
      <c r="I18" s="173">
        <v>0.08</v>
      </c>
      <c r="J18" s="174">
        <f t="shared" si="2"/>
        <v>0</v>
      </c>
      <c r="K18" s="174">
        <f t="shared" si="3"/>
        <v>0</v>
      </c>
    </row>
    <row r="19" spans="2:11">
      <c r="B19" s="175" t="s">
        <v>97</v>
      </c>
      <c r="C19" s="170" t="s">
        <v>1621</v>
      </c>
      <c r="D19" s="176" t="s">
        <v>1622</v>
      </c>
      <c r="E19" s="176" t="s">
        <v>1617</v>
      </c>
      <c r="F19" s="177">
        <v>80</v>
      </c>
      <c r="G19" s="178">
        <f t="shared" si="4"/>
        <v>0</v>
      </c>
      <c r="H19" s="174">
        <f t="shared" si="1"/>
        <v>0</v>
      </c>
      <c r="I19" s="173">
        <v>0.08</v>
      </c>
      <c r="J19" s="174">
        <f t="shared" si="2"/>
        <v>0</v>
      </c>
      <c r="K19" s="174">
        <f t="shared" si="3"/>
        <v>0</v>
      </c>
    </row>
    <row r="20" spans="2:11">
      <c r="B20" s="162" t="s">
        <v>100</v>
      </c>
      <c r="C20" s="170" t="s">
        <v>1623</v>
      </c>
      <c r="D20" s="164" t="s">
        <v>1606</v>
      </c>
      <c r="E20" s="171" t="s">
        <v>1624</v>
      </c>
      <c r="F20" s="172">
        <v>20</v>
      </c>
      <c r="G20" s="166">
        <f>ROUND(S20*1.13,2)</f>
        <v>0</v>
      </c>
      <c r="H20" s="167">
        <f t="shared" si="1"/>
        <v>0</v>
      </c>
      <c r="I20" s="173">
        <v>0.23</v>
      </c>
      <c r="J20" s="167">
        <f t="shared" si="2"/>
        <v>0</v>
      </c>
      <c r="K20" s="167">
        <f t="shared" si="3"/>
        <v>0</v>
      </c>
    </row>
    <row r="21" spans="2:11">
      <c r="B21" s="162" t="s">
        <v>104</v>
      </c>
      <c r="C21" s="170" t="s">
        <v>1625</v>
      </c>
      <c r="D21" s="164" t="s">
        <v>1606</v>
      </c>
      <c r="E21" s="171" t="s">
        <v>1624</v>
      </c>
      <c r="F21" s="172">
        <v>20</v>
      </c>
      <c r="G21" s="166">
        <f>ROUND(S21*1.13,2)</f>
        <v>0</v>
      </c>
      <c r="H21" s="167">
        <f t="shared" si="1"/>
        <v>0</v>
      </c>
      <c r="I21" s="173">
        <v>0.23</v>
      </c>
      <c r="J21" s="167">
        <f t="shared" si="2"/>
        <v>0</v>
      </c>
      <c r="K21" s="167">
        <f t="shared" si="3"/>
        <v>0</v>
      </c>
    </row>
    <row r="22" spans="2:11">
      <c r="B22" s="175" t="s">
        <v>110</v>
      </c>
      <c r="C22" s="170" t="s">
        <v>1626</v>
      </c>
      <c r="D22" s="176" t="s">
        <v>1627</v>
      </c>
      <c r="E22" s="176" t="s">
        <v>1617</v>
      </c>
      <c r="F22" s="177">
        <v>20</v>
      </c>
      <c r="G22" s="178">
        <f>ROUND(S22*1.15,2)</f>
        <v>0</v>
      </c>
      <c r="H22" s="174">
        <f t="shared" si="1"/>
        <v>0</v>
      </c>
      <c r="I22" s="173">
        <v>0.08</v>
      </c>
      <c r="J22" s="174">
        <f t="shared" si="2"/>
        <v>0</v>
      </c>
      <c r="K22" s="174">
        <f t="shared" si="3"/>
        <v>0</v>
      </c>
    </row>
    <row r="23" spans="2:11">
      <c r="B23" s="175" t="s">
        <v>117</v>
      </c>
      <c r="C23" s="170" t="s">
        <v>1628</v>
      </c>
      <c r="D23" s="176" t="s">
        <v>1627</v>
      </c>
      <c r="E23" s="176" t="s">
        <v>1617</v>
      </c>
      <c r="F23" s="177">
        <v>20</v>
      </c>
      <c r="G23" s="178">
        <f>ROUND(S23*1.15,2)</f>
        <v>0</v>
      </c>
      <c r="H23" s="174">
        <f t="shared" si="1"/>
        <v>0</v>
      </c>
      <c r="I23" s="173">
        <v>0.08</v>
      </c>
      <c r="J23" s="174">
        <f t="shared" si="2"/>
        <v>0</v>
      </c>
      <c r="K23" s="174">
        <f t="shared" si="3"/>
        <v>0</v>
      </c>
    </row>
    <row r="24" spans="2:11">
      <c r="B24" s="162" t="s">
        <v>121</v>
      </c>
      <c r="C24" s="163" t="s">
        <v>1629</v>
      </c>
      <c r="D24" s="164" t="s">
        <v>1630</v>
      </c>
      <c r="E24" s="164" t="s">
        <v>1617</v>
      </c>
      <c r="F24" s="165">
        <v>30</v>
      </c>
      <c r="G24" s="166">
        <f t="shared" ref="G24:G49" si="5">ROUND(S24*1.11,2)</f>
        <v>0</v>
      </c>
      <c r="H24" s="167">
        <f t="shared" si="1"/>
        <v>0</v>
      </c>
      <c r="I24" s="168">
        <v>0.23</v>
      </c>
      <c r="J24" s="167">
        <f t="shared" si="2"/>
        <v>0</v>
      </c>
      <c r="K24" s="167">
        <f t="shared" si="3"/>
        <v>0</v>
      </c>
    </row>
    <row r="25" spans="2:11">
      <c r="B25" s="162" t="s">
        <v>124</v>
      </c>
      <c r="C25" s="163" t="s">
        <v>1631</v>
      </c>
      <c r="D25" s="164" t="s">
        <v>1632</v>
      </c>
      <c r="E25" s="164" t="s">
        <v>1617</v>
      </c>
      <c r="F25" s="165">
        <v>30</v>
      </c>
      <c r="G25" s="166">
        <f t="shared" si="5"/>
        <v>0</v>
      </c>
      <c r="H25" s="167">
        <f t="shared" si="1"/>
        <v>0</v>
      </c>
      <c r="I25" s="168">
        <v>0.23</v>
      </c>
      <c r="J25" s="167">
        <f t="shared" si="2"/>
        <v>0</v>
      </c>
      <c r="K25" s="167">
        <f t="shared" si="3"/>
        <v>0</v>
      </c>
    </row>
    <row r="26" spans="2:11">
      <c r="B26" s="162" t="s">
        <v>130</v>
      </c>
      <c r="C26" s="163" t="s">
        <v>1633</v>
      </c>
      <c r="D26" s="164" t="s">
        <v>1634</v>
      </c>
      <c r="E26" s="164" t="s">
        <v>1617</v>
      </c>
      <c r="F26" s="165">
        <v>25</v>
      </c>
      <c r="G26" s="166">
        <f t="shared" si="5"/>
        <v>0</v>
      </c>
      <c r="H26" s="167">
        <f t="shared" si="1"/>
        <v>0</v>
      </c>
      <c r="I26" s="168">
        <v>0.23</v>
      </c>
      <c r="J26" s="167">
        <f t="shared" si="2"/>
        <v>0</v>
      </c>
      <c r="K26" s="167">
        <f t="shared" si="3"/>
        <v>0</v>
      </c>
    </row>
    <row r="27" spans="2:11" ht="25.5">
      <c r="B27" s="162" t="s">
        <v>140</v>
      </c>
      <c r="C27" s="170" t="s">
        <v>1635</v>
      </c>
      <c r="D27" s="164" t="s">
        <v>1636</v>
      </c>
      <c r="E27" s="171" t="s">
        <v>1637</v>
      </c>
      <c r="F27" s="172">
        <v>3</v>
      </c>
      <c r="G27" s="166">
        <f>ROUND(S27*1.11,2)</f>
        <v>0</v>
      </c>
      <c r="H27" s="167">
        <f t="shared" si="1"/>
        <v>0</v>
      </c>
      <c r="I27" s="173">
        <v>0.08</v>
      </c>
      <c r="J27" s="174">
        <f t="shared" si="2"/>
        <v>0</v>
      </c>
      <c r="K27" s="174">
        <f t="shared" si="3"/>
        <v>0</v>
      </c>
    </row>
    <row r="28" spans="2:11" ht="25.5">
      <c r="B28" s="162" t="s">
        <v>145</v>
      </c>
      <c r="C28" s="170" t="s">
        <v>1638</v>
      </c>
      <c r="D28" s="164" t="s">
        <v>1634</v>
      </c>
      <c r="E28" s="171" t="s">
        <v>1637</v>
      </c>
      <c r="F28" s="172">
        <v>3</v>
      </c>
      <c r="G28" s="166">
        <f t="shared" si="5"/>
        <v>0</v>
      </c>
      <c r="H28" s="167">
        <f t="shared" si="1"/>
        <v>0</v>
      </c>
      <c r="I28" s="173">
        <v>0.08</v>
      </c>
      <c r="J28" s="174">
        <f t="shared" si="2"/>
        <v>0</v>
      </c>
      <c r="K28" s="174">
        <f t="shared" si="3"/>
        <v>0</v>
      </c>
    </row>
    <row r="29" spans="2:11">
      <c r="B29" s="175" t="s">
        <v>148</v>
      </c>
      <c r="C29" s="170" t="s">
        <v>1639</v>
      </c>
      <c r="D29" s="164" t="s">
        <v>1630</v>
      </c>
      <c r="E29" s="171" t="s">
        <v>1617</v>
      </c>
      <c r="F29" s="172">
        <v>30</v>
      </c>
      <c r="G29" s="178">
        <f t="shared" si="5"/>
        <v>0</v>
      </c>
      <c r="H29" s="174">
        <f t="shared" si="1"/>
        <v>0</v>
      </c>
      <c r="I29" s="173">
        <v>0.08</v>
      </c>
      <c r="J29" s="174">
        <f t="shared" si="2"/>
        <v>0</v>
      </c>
      <c r="K29" s="174">
        <f t="shared" si="3"/>
        <v>0</v>
      </c>
    </row>
    <row r="30" spans="2:11" ht="25.5">
      <c r="B30" s="175" t="s">
        <v>151</v>
      </c>
      <c r="C30" s="170" t="s">
        <v>1640</v>
      </c>
      <c r="D30" s="164" t="s">
        <v>1636</v>
      </c>
      <c r="E30" s="171" t="s">
        <v>1617</v>
      </c>
      <c r="F30" s="172">
        <v>20</v>
      </c>
      <c r="G30" s="178">
        <f t="shared" si="5"/>
        <v>0</v>
      </c>
      <c r="H30" s="174">
        <f t="shared" si="1"/>
        <v>0</v>
      </c>
      <c r="I30" s="173">
        <v>0.08</v>
      </c>
      <c r="J30" s="174">
        <f t="shared" si="2"/>
        <v>0</v>
      </c>
      <c r="K30" s="174">
        <f t="shared" si="3"/>
        <v>0</v>
      </c>
    </row>
    <row r="31" spans="2:11" ht="25.5">
      <c r="B31" s="175" t="s">
        <v>154</v>
      </c>
      <c r="C31" s="170" t="s">
        <v>1641</v>
      </c>
      <c r="D31" s="171" t="s">
        <v>1642</v>
      </c>
      <c r="E31" s="171" t="s">
        <v>1624</v>
      </c>
      <c r="F31" s="172">
        <v>5</v>
      </c>
      <c r="G31" s="166">
        <f t="shared" si="5"/>
        <v>0</v>
      </c>
      <c r="H31" s="167">
        <f t="shared" si="1"/>
        <v>0</v>
      </c>
      <c r="I31" s="173">
        <v>0.08</v>
      </c>
      <c r="J31" s="174">
        <f t="shared" si="2"/>
        <v>0</v>
      </c>
      <c r="K31" s="174">
        <f t="shared" si="3"/>
        <v>0</v>
      </c>
    </row>
    <row r="32" spans="2:11" ht="51">
      <c r="B32" s="175" t="s">
        <v>157</v>
      </c>
      <c r="C32" s="170" t="s">
        <v>1643</v>
      </c>
      <c r="D32" s="171" t="s">
        <v>1644</v>
      </c>
      <c r="E32" s="171" t="s">
        <v>1617</v>
      </c>
      <c r="F32" s="172">
        <v>5</v>
      </c>
      <c r="G32" s="166">
        <f t="shared" si="5"/>
        <v>0</v>
      </c>
      <c r="H32" s="167">
        <f t="shared" si="1"/>
        <v>0</v>
      </c>
      <c r="I32" s="173">
        <v>0.08</v>
      </c>
      <c r="J32" s="174">
        <f t="shared" si="2"/>
        <v>0</v>
      </c>
      <c r="K32" s="174">
        <f t="shared" si="3"/>
        <v>0</v>
      </c>
    </row>
    <row r="33" spans="2:11" ht="25.5">
      <c r="B33" s="162" t="s">
        <v>162</v>
      </c>
      <c r="C33" s="163" t="s">
        <v>1645</v>
      </c>
      <c r="D33" s="164" t="s">
        <v>1646</v>
      </c>
      <c r="E33" s="164" t="s">
        <v>1617</v>
      </c>
      <c r="F33" s="165">
        <v>5</v>
      </c>
      <c r="G33" s="166">
        <f t="shared" si="5"/>
        <v>0</v>
      </c>
      <c r="H33" s="167">
        <f t="shared" si="1"/>
        <v>0</v>
      </c>
      <c r="I33" s="168">
        <v>0.23</v>
      </c>
      <c r="J33" s="167">
        <f t="shared" si="2"/>
        <v>0</v>
      </c>
      <c r="K33" s="167">
        <f t="shared" si="3"/>
        <v>0</v>
      </c>
    </row>
    <row r="34" spans="2:11">
      <c r="B34" s="162" t="s">
        <v>166</v>
      </c>
      <c r="C34" s="163" t="s">
        <v>1647</v>
      </c>
      <c r="D34" s="164" t="s">
        <v>1646</v>
      </c>
      <c r="E34" s="164" t="s">
        <v>1617</v>
      </c>
      <c r="F34" s="165">
        <v>50</v>
      </c>
      <c r="G34" s="166">
        <f>ROUND(S34*1.09,2)</f>
        <v>0</v>
      </c>
      <c r="H34" s="167">
        <f t="shared" si="1"/>
        <v>0</v>
      </c>
      <c r="I34" s="168">
        <v>0.23</v>
      </c>
      <c r="J34" s="167">
        <f t="shared" si="2"/>
        <v>0</v>
      </c>
      <c r="K34" s="167">
        <f t="shared" si="3"/>
        <v>0</v>
      </c>
    </row>
    <row r="35" spans="2:11" ht="25.5">
      <c r="B35" s="162" t="s">
        <v>170</v>
      </c>
      <c r="C35" s="163" t="s">
        <v>1648</v>
      </c>
      <c r="D35" s="164" t="s">
        <v>1630</v>
      </c>
      <c r="E35" s="164" t="s">
        <v>1617</v>
      </c>
      <c r="F35" s="165">
        <v>100</v>
      </c>
      <c r="G35" s="166">
        <f>ROUND(S35*1.08,2)</f>
        <v>0</v>
      </c>
      <c r="H35" s="167">
        <f t="shared" si="1"/>
        <v>0</v>
      </c>
      <c r="I35" s="168">
        <v>0.23</v>
      </c>
      <c r="J35" s="167">
        <f t="shared" si="2"/>
        <v>0</v>
      </c>
      <c r="K35" s="167">
        <f t="shared" si="3"/>
        <v>0</v>
      </c>
    </row>
    <row r="36" spans="2:11" ht="25.5">
      <c r="B36" s="162" t="s">
        <v>174</v>
      </c>
      <c r="C36" s="163" t="s">
        <v>1649</v>
      </c>
      <c r="D36" s="164" t="s">
        <v>1634</v>
      </c>
      <c r="E36" s="164" t="s">
        <v>1617</v>
      </c>
      <c r="F36" s="165">
        <v>10</v>
      </c>
      <c r="G36" s="166">
        <f>ROUND(S36*1.15,2)</f>
        <v>0</v>
      </c>
      <c r="H36" s="167">
        <f t="shared" si="1"/>
        <v>0</v>
      </c>
      <c r="I36" s="168">
        <v>0.23</v>
      </c>
      <c r="J36" s="167">
        <f t="shared" si="2"/>
        <v>0</v>
      </c>
      <c r="K36" s="167">
        <f t="shared" si="3"/>
        <v>0</v>
      </c>
    </row>
    <row r="37" spans="2:11">
      <c r="B37" s="162" t="s">
        <v>178</v>
      </c>
      <c r="C37" s="163" t="s">
        <v>1650</v>
      </c>
      <c r="D37" s="164" t="s">
        <v>1651</v>
      </c>
      <c r="E37" s="164" t="s">
        <v>1617</v>
      </c>
      <c r="F37" s="165">
        <v>5</v>
      </c>
      <c r="G37" s="166">
        <f t="shared" si="5"/>
        <v>0</v>
      </c>
      <c r="H37" s="167">
        <f t="shared" si="1"/>
        <v>0</v>
      </c>
      <c r="I37" s="173">
        <v>0.23</v>
      </c>
      <c r="J37" s="167">
        <f t="shared" si="2"/>
        <v>0</v>
      </c>
      <c r="K37" s="167">
        <f t="shared" si="3"/>
        <v>0</v>
      </c>
    </row>
    <row r="38" spans="2:11" ht="25.5">
      <c r="B38" s="162" t="s">
        <v>182</v>
      </c>
      <c r="C38" s="170" t="s">
        <v>1652</v>
      </c>
      <c r="D38" s="164" t="s">
        <v>1653</v>
      </c>
      <c r="E38" s="171" t="s">
        <v>1617</v>
      </c>
      <c r="F38" s="172">
        <v>10</v>
      </c>
      <c r="G38" s="166">
        <f t="shared" si="5"/>
        <v>0</v>
      </c>
      <c r="H38" s="167">
        <f t="shared" si="1"/>
        <v>0</v>
      </c>
      <c r="I38" s="173">
        <v>0.08</v>
      </c>
      <c r="J38" s="174">
        <f t="shared" si="2"/>
        <v>0</v>
      </c>
      <c r="K38" s="174">
        <f t="shared" si="3"/>
        <v>0</v>
      </c>
    </row>
    <row r="39" spans="2:11" ht="25.5">
      <c r="B39" s="162" t="s">
        <v>189</v>
      </c>
      <c r="C39" s="170" t="s">
        <v>1654</v>
      </c>
      <c r="D39" s="164" t="s">
        <v>1619</v>
      </c>
      <c r="E39" s="171" t="s">
        <v>1617</v>
      </c>
      <c r="F39" s="172">
        <v>5</v>
      </c>
      <c r="G39" s="166">
        <f t="shared" si="5"/>
        <v>0</v>
      </c>
      <c r="H39" s="167">
        <f t="shared" si="1"/>
        <v>0</v>
      </c>
      <c r="I39" s="173">
        <v>0.08</v>
      </c>
      <c r="J39" s="174">
        <f t="shared" si="2"/>
        <v>0</v>
      </c>
      <c r="K39" s="174">
        <f t="shared" si="3"/>
        <v>0</v>
      </c>
    </row>
    <row r="40" spans="2:11" ht="25.5">
      <c r="B40" s="162" t="s">
        <v>194</v>
      </c>
      <c r="C40" s="163" t="s">
        <v>1655</v>
      </c>
      <c r="D40" s="164" t="s">
        <v>1656</v>
      </c>
      <c r="E40" s="164" t="s">
        <v>1617</v>
      </c>
      <c r="F40" s="165">
        <v>60</v>
      </c>
      <c r="G40" s="166">
        <f t="shared" si="5"/>
        <v>0</v>
      </c>
      <c r="H40" s="167">
        <f t="shared" si="1"/>
        <v>0</v>
      </c>
      <c r="I40" s="168">
        <v>0.23</v>
      </c>
      <c r="J40" s="167">
        <f t="shared" si="2"/>
        <v>0</v>
      </c>
      <c r="K40" s="167">
        <f t="shared" si="3"/>
        <v>0</v>
      </c>
    </row>
    <row r="41" spans="2:11" ht="25.5">
      <c r="B41" s="162" t="s">
        <v>197</v>
      </c>
      <c r="C41" s="163" t="s">
        <v>1657</v>
      </c>
      <c r="D41" s="164" t="s">
        <v>1656</v>
      </c>
      <c r="E41" s="164" t="s">
        <v>1617</v>
      </c>
      <c r="F41" s="165">
        <v>60</v>
      </c>
      <c r="G41" s="166">
        <f>ROUND(S41*1.15,2)</f>
        <v>0</v>
      </c>
      <c r="H41" s="167">
        <f t="shared" si="1"/>
        <v>0</v>
      </c>
      <c r="I41" s="168">
        <v>0.23</v>
      </c>
      <c r="J41" s="167">
        <f t="shared" si="2"/>
        <v>0</v>
      </c>
      <c r="K41" s="167">
        <f t="shared" si="3"/>
        <v>0</v>
      </c>
    </row>
    <row r="42" spans="2:11" ht="25.5">
      <c r="B42" s="162" t="s">
        <v>200</v>
      </c>
      <c r="C42" s="170" t="s">
        <v>1658</v>
      </c>
      <c r="D42" s="164" t="s">
        <v>1656</v>
      </c>
      <c r="E42" s="171" t="s">
        <v>1637</v>
      </c>
      <c r="F42" s="172">
        <v>30</v>
      </c>
      <c r="G42" s="166">
        <f t="shared" si="5"/>
        <v>0</v>
      </c>
      <c r="H42" s="167">
        <f t="shared" si="1"/>
        <v>0</v>
      </c>
      <c r="I42" s="173">
        <v>0.08</v>
      </c>
      <c r="J42" s="174">
        <f t="shared" si="2"/>
        <v>0</v>
      </c>
      <c r="K42" s="174">
        <f t="shared" si="3"/>
        <v>0</v>
      </c>
    </row>
    <row r="43" spans="2:11" ht="25.5">
      <c r="B43" s="162" t="s">
        <v>203</v>
      </c>
      <c r="C43" s="170" t="s">
        <v>1659</v>
      </c>
      <c r="D43" s="164" t="s">
        <v>1660</v>
      </c>
      <c r="E43" s="171" t="s">
        <v>1637</v>
      </c>
      <c r="F43" s="172">
        <v>30</v>
      </c>
      <c r="G43" s="166">
        <f t="shared" si="5"/>
        <v>0</v>
      </c>
      <c r="H43" s="167">
        <f t="shared" si="1"/>
        <v>0</v>
      </c>
      <c r="I43" s="173">
        <v>0.23</v>
      </c>
      <c r="J43" s="174">
        <f t="shared" si="2"/>
        <v>0</v>
      </c>
      <c r="K43" s="174">
        <f t="shared" si="3"/>
        <v>0</v>
      </c>
    </row>
    <row r="44" spans="2:11">
      <c r="B44" s="175" t="s">
        <v>207</v>
      </c>
      <c r="C44" s="170" t="s">
        <v>1661</v>
      </c>
      <c r="D44" s="164" t="s">
        <v>1662</v>
      </c>
      <c r="E44" s="171" t="s">
        <v>1637</v>
      </c>
      <c r="F44" s="172">
        <v>5</v>
      </c>
      <c r="G44" s="178">
        <f>ROUND(S44*1.12,2)</f>
        <v>0</v>
      </c>
      <c r="H44" s="174">
        <f t="shared" si="1"/>
        <v>0</v>
      </c>
      <c r="I44" s="173">
        <v>0.23</v>
      </c>
      <c r="J44" s="174">
        <f t="shared" si="2"/>
        <v>0</v>
      </c>
      <c r="K44" s="174">
        <f t="shared" si="3"/>
        <v>0</v>
      </c>
    </row>
    <row r="45" spans="2:11">
      <c r="B45" s="175" t="s">
        <v>210</v>
      </c>
      <c r="C45" s="170" t="s">
        <v>1663</v>
      </c>
      <c r="D45" s="164" t="s">
        <v>1662</v>
      </c>
      <c r="E45" s="171" t="s">
        <v>1637</v>
      </c>
      <c r="F45" s="172">
        <v>5</v>
      </c>
      <c r="G45" s="178">
        <f>ROUND(S45*1.12,2)</f>
        <v>0</v>
      </c>
      <c r="H45" s="174">
        <f t="shared" si="1"/>
        <v>0</v>
      </c>
      <c r="I45" s="173">
        <v>0.23</v>
      </c>
      <c r="J45" s="174">
        <f t="shared" si="2"/>
        <v>0</v>
      </c>
      <c r="K45" s="174">
        <f t="shared" si="3"/>
        <v>0</v>
      </c>
    </row>
    <row r="46" spans="2:11">
      <c r="B46" s="175" t="s">
        <v>214</v>
      </c>
      <c r="C46" s="170" t="s">
        <v>1664</v>
      </c>
      <c r="D46" s="164"/>
      <c r="E46" s="171" t="s">
        <v>708</v>
      </c>
      <c r="F46" s="172">
        <v>1</v>
      </c>
      <c r="G46" s="178">
        <f t="shared" si="5"/>
        <v>0</v>
      </c>
      <c r="H46" s="174">
        <f t="shared" si="1"/>
        <v>0</v>
      </c>
      <c r="I46" s="173">
        <v>0.08</v>
      </c>
      <c r="J46" s="174">
        <f t="shared" si="2"/>
        <v>0</v>
      </c>
      <c r="K46" s="174">
        <f t="shared" si="3"/>
        <v>0</v>
      </c>
    </row>
    <row r="47" spans="2:11">
      <c r="B47" s="162" t="s">
        <v>218</v>
      </c>
      <c r="C47" s="170" t="s">
        <v>1665</v>
      </c>
      <c r="D47" s="164" t="s">
        <v>1656</v>
      </c>
      <c r="E47" s="171" t="s">
        <v>1617</v>
      </c>
      <c r="F47" s="172">
        <v>15</v>
      </c>
      <c r="G47" s="166">
        <f t="shared" si="5"/>
        <v>0</v>
      </c>
      <c r="H47" s="167">
        <f t="shared" si="1"/>
        <v>0</v>
      </c>
      <c r="I47" s="173">
        <v>0.08</v>
      </c>
      <c r="J47" s="167">
        <f t="shared" si="2"/>
        <v>0</v>
      </c>
      <c r="K47" s="167">
        <f t="shared" si="3"/>
        <v>0</v>
      </c>
    </row>
    <row r="48" spans="2:11">
      <c r="B48" s="162" t="s">
        <v>222</v>
      </c>
      <c r="C48" s="170" t="s">
        <v>1666</v>
      </c>
      <c r="D48" s="164" t="s">
        <v>1667</v>
      </c>
      <c r="E48" s="171" t="s">
        <v>1637</v>
      </c>
      <c r="F48" s="172">
        <v>15</v>
      </c>
      <c r="G48" s="166">
        <f t="shared" si="5"/>
        <v>0</v>
      </c>
      <c r="H48" s="167">
        <f t="shared" si="1"/>
        <v>0</v>
      </c>
      <c r="I48" s="173">
        <v>0.08</v>
      </c>
      <c r="J48" s="167">
        <f t="shared" si="2"/>
        <v>0</v>
      </c>
      <c r="K48" s="167">
        <f t="shared" si="3"/>
        <v>0</v>
      </c>
    </row>
    <row r="49" spans="2:11">
      <c r="B49" s="162" t="s">
        <v>225</v>
      </c>
      <c r="C49" s="170" t="s">
        <v>1668</v>
      </c>
      <c r="D49" s="164" t="s">
        <v>1667</v>
      </c>
      <c r="E49" s="171" t="s">
        <v>1617</v>
      </c>
      <c r="F49" s="172">
        <v>30</v>
      </c>
      <c r="G49" s="166">
        <f t="shared" si="5"/>
        <v>0</v>
      </c>
      <c r="H49" s="167">
        <f t="shared" si="1"/>
        <v>0</v>
      </c>
      <c r="I49" s="173">
        <v>0.08</v>
      </c>
      <c r="J49" s="167">
        <f t="shared" si="2"/>
        <v>0</v>
      </c>
      <c r="K49" s="167">
        <f t="shared" si="3"/>
        <v>0</v>
      </c>
    </row>
    <row r="50" spans="2:11">
      <c r="B50" s="162" t="s">
        <v>228</v>
      </c>
      <c r="C50" s="170" t="s">
        <v>1669</v>
      </c>
      <c r="D50" s="164"/>
      <c r="E50" s="171" t="s">
        <v>708</v>
      </c>
      <c r="F50" s="172">
        <v>60</v>
      </c>
      <c r="G50" s="166">
        <f>ROUND(S50*1.15,2)</f>
        <v>0</v>
      </c>
      <c r="H50" s="167">
        <f t="shared" si="1"/>
        <v>0</v>
      </c>
      <c r="I50" s="173">
        <v>0.23</v>
      </c>
      <c r="J50" s="174">
        <f t="shared" si="2"/>
        <v>0</v>
      </c>
      <c r="K50" s="174">
        <f t="shared" si="3"/>
        <v>0</v>
      </c>
    </row>
    <row r="51" spans="2:11">
      <c r="B51" s="175" t="s">
        <v>233</v>
      </c>
      <c r="C51" s="170" t="s">
        <v>1670</v>
      </c>
      <c r="D51" s="164" t="s">
        <v>1619</v>
      </c>
      <c r="E51" s="171" t="s">
        <v>1617</v>
      </c>
      <c r="F51" s="172">
        <v>10</v>
      </c>
      <c r="G51" s="178">
        <f>ROUND(S51*1.15,2)</f>
        <v>0</v>
      </c>
      <c r="H51" s="174">
        <f t="shared" si="1"/>
        <v>0</v>
      </c>
      <c r="I51" s="173">
        <v>0.08</v>
      </c>
      <c r="J51" s="174">
        <f t="shared" si="2"/>
        <v>0</v>
      </c>
      <c r="K51" s="174">
        <f t="shared" si="3"/>
        <v>0</v>
      </c>
    </row>
    <row r="52" spans="2:11">
      <c r="B52" s="175" t="s">
        <v>241</v>
      </c>
      <c r="C52" s="170" t="s">
        <v>1671</v>
      </c>
      <c r="D52" s="164" t="s">
        <v>1619</v>
      </c>
      <c r="E52" s="171" t="s">
        <v>1617</v>
      </c>
      <c r="F52" s="172">
        <v>10</v>
      </c>
      <c r="G52" s="178">
        <f>ROUND(S52*1.15,2)</f>
        <v>0</v>
      </c>
      <c r="H52" s="174">
        <f t="shared" si="1"/>
        <v>0</v>
      </c>
      <c r="I52" s="173">
        <v>0.08</v>
      </c>
      <c r="J52" s="174">
        <f t="shared" si="2"/>
        <v>0</v>
      </c>
      <c r="K52" s="174">
        <f t="shared" si="3"/>
        <v>0</v>
      </c>
    </row>
    <row r="53" spans="2:11">
      <c r="B53" s="162" t="s">
        <v>246</v>
      </c>
      <c r="C53" s="163" t="s">
        <v>1672</v>
      </c>
      <c r="D53" s="164" t="s">
        <v>1606</v>
      </c>
      <c r="E53" s="164" t="s">
        <v>708</v>
      </c>
      <c r="F53" s="165">
        <v>10</v>
      </c>
      <c r="G53" s="178">
        <f>ROUND(S53*1.13,2)</f>
        <v>0</v>
      </c>
      <c r="H53" s="167">
        <f t="shared" si="1"/>
        <v>0</v>
      </c>
      <c r="I53" s="168">
        <v>0.23</v>
      </c>
      <c r="J53" s="167">
        <f t="shared" si="2"/>
        <v>0</v>
      </c>
      <c r="K53" s="167">
        <f t="shared" si="3"/>
        <v>0</v>
      </c>
    </row>
    <row r="54" spans="2:11">
      <c r="B54" s="162" t="s">
        <v>251</v>
      </c>
      <c r="C54" s="163" t="s">
        <v>1673</v>
      </c>
      <c r="D54" s="164" t="s">
        <v>1606</v>
      </c>
      <c r="E54" s="164" t="s">
        <v>708</v>
      </c>
      <c r="F54" s="165">
        <v>10</v>
      </c>
      <c r="G54" s="166">
        <f>ROUND(S54*1.09,2)</f>
        <v>0</v>
      </c>
      <c r="H54" s="167">
        <f t="shared" si="1"/>
        <v>0</v>
      </c>
      <c r="I54" s="168">
        <v>0.23</v>
      </c>
      <c r="J54" s="167">
        <f t="shared" si="2"/>
        <v>0</v>
      </c>
      <c r="K54" s="167">
        <f t="shared" si="3"/>
        <v>0</v>
      </c>
    </row>
    <row r="55" spans="2:11">
      <c r="B55" s="162" t="s">
        <v>255</v>
      </c>
      <c r="C55" s="163" t="s">
        <v>1674</v>
      </c>
      <c r="D55" s="164" t="s">
        <v>1606</v>
      </c>
      <c r="E55" s="164" t="s">
        <v>1624</v>
      </c>
      <c r="F55" s="165">
        <v>4</v>
      </c>
      <c r="G55" s="166">
        <f>ROUND(S55*1.05,2)</f>
        <v>0</v>
      </c>
      <c r="H55" s="167">
        <f t="shared" si="1"/>
        <v>0</v>
      </c>
      <c r="I55" s="168">
        <v>0.23</v>
      </c>
      <c r="J55" s="167">
        <f t="shared" si="2"/>
        <v>0</v>
      </c>
      <c r="K55" s="167">
        <f t="shared" si="3"/>
        <v>0</v>
      </c>
    </row>
    <row r="56" spans="2:11" ht="25.5">
      <c r="B56" s="162" t="s">
        <v>258</v>
      </c>
      <c r="C56" s="170" t="s">
        <v>1675</v>
      </c>
      <c r="D56" s="179" t="s">
        <v>1606</v>
      </c>
      <c r="E56" s="180" t="s">
        <v>708</v>
      </c>
      <c r="F56" s="181">
        <v>8</v>
      </c>
      <c r="G56" s="182">
        <v>20.25</v>
      </c>
      <c r="H56" s="167">
        <f t="shared" si="1"/>
        <v>162</v>
      </c>
      <c r="I56" s="173">
        <v>0.23</v>
      </c>
      <c r="J56" s="174">
        <f t="shared" si="2"/>
        <v>37.259999999999991</v>
      </c>
      <c r="K56" s="174">
        <f t="shared" si="3"/>
        <v>199.26</v>
      </c>
    </row>
    <row r="57" spans="2:11">
      <c r="B57" s="162" t="s">
        <v>261</v>
      </c>
      <c r="C57" s="163" t="s">
        <v>1676</v>
      </c>
      <c r="D57" s="164" t="s">
        <v>1606</v>
      </c>
      <c r="E57" s="164" t="s">
        <v>708</v>
      </c>
      <c r="F57" s="165">
        <v>10</v>
      </c>
      <c r="G57" s="166">
        <f>ROUND(S57*1.13,2)</f>
        <v>0</v>
      </c>
      <c r="H57" s="167">
        <f t="shared" si="1"/>
        <v>0</v>
      </c>
      <c r="I57" s="183">
        <v>0.23</v>
      </c>
      <c r="J57" s="167">
        <f t="shared" si="2"/>
        <v>0</v>
      </c>
      <c r="K57" s="167">
        <f t="shared" si="3"/>
        <v>0</v>
      </c>
    </row>
    <row r="58" spans="2:11">
      <c r="B58" s="162" t="s">
        <v>265</v>
      </c>
      <c r="C58" s="170" t="s">
        <v>1677</v>
      </c>
      <c r="D58" s="164" t="s">
        <v>1606</v>
      </c>
      <c r="E58" s="171" t="s">
        <v>708</v>
      </c>
      <c r="F58" s="172">
        <v>4</v>
      </c>
      <c r="G58" s="166">
        <f t="shared" ref="G58:G107" si="6">ROUND(S58*1.15,2)</f>
        <v>0</v>
      </c>
      <c r="H58" s="167">
        <f t="shared" si="1"/>
        <v>0</v>
      </c>
      <c r="I58" s="184">
        <v>0.23</v>
      </c>
      <c r="J58" s="167">
        <f t="shared" si="2"/>
        <v>0</v>
      </c>
      <c r="K58" s="167">
        <f t="shared" si="3"/>
        <v>0</v>
      </c>
    </row>
    <row r="59" spans="2:11">
      <c r="B59" s="162" t="s">
        <v>268</v>
      </c>
      <c r="C59" s="170" t="s">
        <v>1678</v>
      </c>
      <c r="D59" s="164" t="s">
        <v>1606</v>
      </c>
      <c r="E59" s="171" t="s">
        <v>708</v>
      </c>
      <c r="F59" s="172">
        <v>4</v>
      </c>
      <c r="G59" s="166">
        <f t="shared" si="6"/>
        <v>0</v>
      </c>
      <c r="H59" s="167">
        <f t="shared" si="1"/>
        <v>0</v>
      </c>
      <c r="I59" s="184">
        <v>0.23</v>
      </c>
      <c r="J59" s="167">
        <f t="shared" si="2"/>
        <v>0</v>
      </c>
      <c r="K59" s="167">
        <f t="shared" si="3"/>
        <v>0</v>
      </c>
    </row>
    <row r="60" spans="2:11">
      <c r="B60" s="162" t="s">
        <v>273</v>
      </c>
      <c r="C60" s="170" t="s">
        <v>1679</v>
      </c>
      <c r="D60" s="164" t="s">
        <v>1606</v>
      </c>
      <c r="E60" s="171" t="s">
        <v>708</v>
      </c>
      <c r="F60" s="172">
        <v>4</v>
      </c>
      <c r="G60" s="166">
        <f t="shared" si="6"/>
        <v>0</v>
      </c>
      <c r="H60" s="167">
        <f t="shared" si="1"/>
        <v>0</v>
      </c>
      <c r="I60" s="184">
        <v>0.23</v>
      </c>
      <c r="J60" s="167">
        <f t="shared" si="2"/>
        <v>0</v>
      </c>
      <c r="K60" s="167">
        <f t="shared" si="3"/>
        <v>0</v>
      </c>
    </row>
    <row r="61" spans="2:11">
      <c r="B61" s="175" t="s">
        <v>276</v>
      </c>
      <c r="C61" s="170" t="s">
        <v>1680</v>
      </c>
      <c r="D61" s="164" t="s">
        <v>1681</v>
      </c>
      <c r="E61" s="171" t="s">
        <v>1617</v>
      </c>
      <c r="F61" s="172">
        <v>5</v>
      </c>
      <c r="G61" s="166">
        <f t="shared" si="6"/>
        <v>0</v>
      </c>
      <c r="H61" s="174">
        <f t="shared" si="1"/>
        <v>0</v>
      </c>
      <c r="I61" s="173">
        <v>0.08</v>
      </c>
      <c r="J61" s="174">
        <f t="shared" si="2"/>
        <v>0</v>
      </c>
      <c r="K61" s="174">
        <f t="shared" si="3"/>
        <v>0</v>
      </c>
    </row>
    <row r="62" spans="2:11">
      <c r="B62" s="175" t="s">
        <v>281</v>
      </c>
      <c r="C62" s="170" t="s">
        <v>1682</v>
      </c>
      <c r="D62" s="176" t="s">
        <v>1662</v>
      </c>
      <c r="E62" s="176" t="s">
        <v>1617</v>
      </c>
      <c r="F62" s="177">
        <v>10</v>
      </c>
      <c r="G62" s="178">
        <f>ROUND(S62*1.12,2)</f>
        <v>0</v>
      </c>
      <c r="H62" s="174">
        <f t="shared" si="1"/>
        <v>0</v>
      </c>
      <c r="I62" s="173">
        <v>0.08</v>
      </c>
      <c r="J62" s="174">
        <f t="shared" si="2"/>
        <v>0</v>
      </c>
      <c r="K62" s="174">
        <f t="shared" si="3"/>
        <v>0</v>
      </c>
    </row>
    <row r="63" spans="2:11">
      <c r="B63" s="162" t="s">
        <v>285</v>
      </c>
      <c r="C63" s="163" t="s">
        <v>1683</v>
      </c>
      <c r="D63" s="164" t="s">
        <v>1606</v>
      </c>
      <c r="E63" s="164" t="s">
        <v>708</v>
      </c>
      <c r="F63" s="165">
        <v>3</v>
      </c>
      <c r="G63" s="166">
        <f>ROUND(S63*1.06,2)</f>
        <v>0</v>
      </c>
      <c r="H63" s="167">
        <f t="shared" si="1"/>
        <v>0</v>
      </c>
      <c r="I63" s="168">
        <v>0.23</v>
      </c>
      <c r="J63" s="167">
        <f t="shared" si="2"/>
        <v>0</v>
      </c>
      <c r="K63" s="167">
        <f t="shared" si="3"/>
        <v>0</v>
      </c>
    </row>
    <row r="64" spans="2:11">
      <c r="B64" s="162" t="s">
        <v>289</v>
      </c>
      <c r="C64" s="163" t="s">
        <v>1684</v>
      </c>
      <c r="D64" s="164" t="s">
        <v>1606</v>
      </c>
      <c r="E64" s="164" t="s">
        <v>708</v>
      </c>
      <c r="F64" s="165">
        <v>3</v>
      </c>
      <c r="G64" s="166">
        <f t="shared" ref="G64:G65" si="7">ROUND(S64*1.06,2)</f>
        <v>0</v>
      </c>
      <c r="H64" s="167">
        <f t="shared" si="1"/>
        <v>0</v>
      </c>
      <c r="I64" s="168">
        <v>0.23</v>
      </c>
      <c r="J64" s="167">
        <f t="shared" si="2"/>
        <v>0</v>
      </c>
      <c r="K64" s="167">
        <f t="shared" si="3"/>
        <v>0</v>
      </c>
    </row>
    <row r="65" spans="2:11">
      <c r="B65" s="162" t="s">
        <v>296</v>
      </c>
      <c r="C65" s="163" t="s">
        <v>1685</v>
      </c>
      <c r="D65" s="164" t="s">
        <v>1606</v>
      </c>
      <c r="E65" s="164" t="s">
        <v>1624</v>
      </c>
      <c r="F65" s="165">
        <v>1</v>
      </c>
      <c r="G65" s="166">
        <f t="shared" si="7"/>
        <v>0</v>
      </c>
      <c r="H65" s="167">
        <f t="shared" si="1"/>
        <v>0</v>
      </c>
      <c r="I65" s="173">
        <v>0.23</v>
      </c>
      <c r="J65" s="167">
        <f t="shared" si="2"/>
        <v>0</v>
      </c>
      <c r="K65" s="167">
        <f t="shared" si="3"/>
        <v>0</v>
      </c>
    </row>
    <row r="66" spans="2:11">
      <c r="B66" s="162" t="s">
        <v>300</v>
      </c>
      <c r="C66" s="163" t="s">
        <v>1686</v>
      </c>
      <c r="D66" s="164" t="s">
        <v>1606</v>
      </c>
      <c r="E66" s="164" t="s">
        <v>1624</v>
      </c>
      <c r="F66" s="165">
        <v>1</v>
      </c>
      <c r="G66" s="166">
        <f>ROUND(S66*1.11,2)</f>
        <v>0</v>
      </c>
      <c r="H66" s="167">
        <f t="shared" si="1"/>
        <v>0</v>
      </c>
      <c r="I66" s="173">
        <v>0.23</v>
      </c>
      <c r="J66" s="167">
        <f t="shared" si="2"/>
        <v>0</v>
      </c>
      <c r="K66" s="167">
        <f t="shared" si="3"/>
        <v>0</v>
      </c>
    </row>
    <row r="67" spans="2:11">
      <c r="B67" s="162" t="s">
        <v>304</v>
      </c>
      <c r="C67" s="163" t="s">
        <v>1687</v>
      </c>
      <c r="D67" s="164" t="s">
        <v>1606</v>
      </c>
      <c r="E67" s="164" t="s">
        <v>1624</v>
      </c>
      <c r="F67" s="165">
        <v>1</v>
      </c>
      <c r="G67" s="166">
        <f t="shared" ref="G67:G69" si="8">ROUND(S67*1.11,2)</f>
        <v>0</v>
      </c>
      <c r="H67" s="167">
        <f t="shared" si="1"/>
        <v>0</v>
      </c>
      <c r="I67" s="173">
        <v>0.23</v>
      </c>
      <c r="J67" s="167">
        <f t="shared" si="2"/>
        <v>0</v>
      </c>
      <c r="K67" s="167">
        <f t="shared" si="3"/>
        <v>0</v>
      </c>
    </row>
    <row r="68" spans="2:11">
      <c r="B68" s="162" t="s">
        <v>307</v>
      </c>
      <c r="C68" s="163" t="s">
        <v>1688</v>
      </c>
      <c r="D68" s="164" t="s">
        <v>1606</v>
      </c>
      <c r="E68" s="164" t="s">
        <v>1624</v>
      </c>
      <c r="F68" s="165">
        <v>1</v>
      </c>
      <c r="G68" s="166">
        <f t="shared" si="8"/>
        <v>0</v>
      </c>
      <c r="H68" s="167">
        <f t="shared" si="1"/>
        <v>0</v>
      </c>
      <c r="I68" s="173">
        <v>0.23</v>
      </c>
      <c r="J68" s="167">
        <f t="shared" si="2"/>
        <v>0</v>
      </c>
      <c r="K68" s="167">
        <f t="shared" si="3"/>
        <v>0</v>
      </c>
    </row>
    <row r="69" spans="2:11">
      <c r="B69" s="162" t="s">
        <v>310</v>
      </c>
      <c r="C69" s="163" t="s">
        <v>1689</v>
      </c>
      <c r="D69" s="164" t="s">
        <v>1606</v>
      </c>
      <c r="E69" s="164" t="s">
        <v>1624</v>
      </c>
      <c r="F69" s="165">
        <v>1</v>
      </c>
      <c r="G69" s="166">
        <f t="shared" si="8"/>
        <v>0</v>
      </c>
      <c r="H69" s="167">
        <f t="shared" si="1"/>
        <v>0</v>
      </c>
      <c r="I69" s="173">
        <v>0.23</v>
      </c>
      <c r="J69" s="167">
        <f t="shared" si="2"/>
        <v>0</v>
      </c>
      <c r="K69" s="167">
        <f t="shared" si="3"/>
        <v>0</v>
      </c>
    </row>
    <row r="70" spans="2:11">
      <c r="B70" s="162" t="s">
        <v>313</v>
      </c>
      <c r="C70" s="185" t="s">
        <v>1690</v>
      </c>
      <c r="D70" s="164" t="s">
        <v>1606</v>
      </c>
      <c r="E70" s="164" t="s">
        <v>1624</v>
      </c>
      <c r="F70" s="165">
        <v>5</v>
      </c>
      <c r="G70" s="166">
        <f>ROUND(S70*1.13,2)</f>
        <v>0</v>
      </c>
      <c r="H70" s="167">
        <f t="shared" si="1"/>
        <v>0</v>
      </c>
      <c r="I70" s="173">
        <v>0.23</v>
      </c>
      <c r="J70" s="167">
        <f t="shared" si="2"/>
        <v>0</v>
      </c>
      <c r="K70" s="167">
        <f t="shared" si="3"/>
        <v>0</v>
      </c>
    </row>
    <row r="71" spans="2:11">
      <c r="B71" s="162" t="s">
        <v>317</v>
      </c>
      <c r="C71" s="186" t="s">
        <v>1691</v>
      </c>
      <c r="D71" s="164" t="s">
        <v>1606</v>
      </c>
      <c r="E71" s="164" t="s">
        <v>1624</v>
      </c>
      <c r="F71" s="165">
        <v>2</v>
      </c>
      <c r="G71" s="166">
        <f>ROUND(S71*1.11,2)</f>
        <v>0</v>
      </c>
      <c r="H71" s="167">
        <f t="shared" si="1"/>
        <v>0</v>
      </c>
      <c r="I71" s="173">
        <v>0.23</v>
      </c>
      <c r="J71" s="167">
        <f t="shared" si="2"/>
        <v>0</v>
      </c>
      <c r="K71" s="167">
        <f t="shared" si="3"/>
        <v>0</v>
      </c>
    </row>
    <row r="72" spans="2:11">
      <c r="B72" s="162" t="s">
        <v>321</v>
      </c>
      <c r="C72" s="170" t="s">
        <v>1692</v>
      </c>
      <c r="D72" s="164" t="s">
        <v>1606</v>
      </c>
      <c r="E72" s="171" t="s">
        <v>708</v>
      </c>
      <c r="F72" s="172">
        <v>20</v>
      </c>
      <c r="G72" s="166">
        <f t="shared" si="6"/>
        <v>0</v>
      </c>
      <c r="H72" s="167">
        <f t="shared" si="1"/>
        <v>0</v>
      </c>
      <c r="I72" s="173">
        <v>0.23</v>
      </c>
      <c r="J72" s="167">
        <f t="shared" si="2"/>
        <v>0</v>
      </c>
      <c r="K72" s="167">
        <f t="shared" si="3"/>
        <v>0</v>
      </c>
    </row>
    <row r="73" spans="2:11" ht="25.5">
      <c r="B73" s="162" t="s">
        <v>326</v>
      </c>
      <c r="C73" s="170" t="s">
        <v>1693</v>
      </c>
      <c r="D73" s="164" t="s">
        <v>1606</v>
      </c>
      <c r="E73" s="171" t="s">
        <v>708</v>
      </c>
      <c r="F73" s="172">
        <v>10</v>
      </c>
      <c r="G73" s="166">
        <f t="shared" si="6"/>
        <v>0</v>
      </c>
      <c r="H73" s="167">
        <f t="shared" si="1"/>
        <v>0</v>
      </c>
      <c r="I73" s="173">
        <v>0.23</v>
      </c>
      <c r="J73" s="167">
        <f t="shared" si="2"/>
        <v>0</v>
      </c>
      <c r="K73" s="167">
        <f t="shared" si="3"/>
        <v>0</v>
      </c>
    </row>
    <row r="74" spans="2:11">
      <c r="B74" s="162" t="s">
        <v>331</v>
      </c>
      <c r="C74" s="170" t="s">
        <v>1694</v>
      </c>
      <c r="D74" s="164" t="s">
        <v>1606</v>
      </c>
      <c r="E74" s="171" t="s">
        <v>708</v>
      </c>
      <c r="F74" s="172">
        <v>10</v>
      </c>
      <c r="G74" s="166">
        <f t="shared" si="6"/>
        <v>0</v>
      </c>
      <c r="H74" s="167">
        <f t="shared" si="1"/>
        <v>0</v>
      </c>
      <c r="I74" s="173">
        <v>0.23</v>
      </c>
      <c r="J74" s="167">
        <f t="shared" si="2"/>
        <v>0</v>
      </c>
      <c r="K74" s="167">
        <f t="shared" si="3"/>
        <v>0</v>
      </c>
    </row>
    <row r="75" spans="2:11" ht="25.5">
      <c r="B75" s="175" t="s">
        <v>335</v>
      </c>
      <c r="C75" s="170" t="s">
        <v>1695</v>
      </c>
      <c r="D75" s="164" t="s">
        <v>1606</v>
      </c>
      <c r="E75" s="171" t="s">
        <v>1624</v>
      </c>
      <c r="F75" s="172">
        <v>3</v>
      </c>
      <c r="G75" s="178">
        <f t="shared" si="6"/>
        <v>0</v>
      </c>
      <c r="H75" s="174">
        <f t="shared" si="1"/>
        <v>0</v>
      </c>
      <c r="I75" s="173">
        <v>0.23</v>
      </c>
      <c r="J75" s="174">
        <f t="shared" si="2"/>
        <v>0</v>
      </c>
      <c r="K75" s="174">
        <f t="shared" si="3"/>
        <v>0</v>
      </c>
    </row>
    <row r="76" spans="2:11">
      <c r="B76" s="162" t="s">
        <v>338</v>
      </c>
      <c r="C76" s="163" t="s">
        <v>1696</v>
      </c>
      <c r="D76" s="164" t="s">
        <v>1606</v>
      </c>
      <c r="E76" s="164" t="s">
        <v>708</v>
      </c>
      <c r="F76" s="165">
        <v>10</v>
      </c>
      <c r="G76" s="166">
        <v>12</v>
      </c>
      <c r="H76" s="167">
        <f t="shared" ref="H76:H139" si="9">G76*F76</f>
        <v>120</v>
      </c>
      <c r="I76" s="168">
        <v>0.08</v>
      </c>
      <c r="J76" s="167">
        <f t="shared" si="2"/>
        <v>9.5999999999999943</v>
      </c>
      <c r="K76" s="167">
        <f t="shared" si="3"/>
        <v>129.6</v>
      </c>
    </row>
    <row r="77" spans="2:11">
      <c r="B77" s="162" t="s">
        <v>342</v>
      </c>
      <c r="C77" s="163" t="s">
        <v>1697</v>
      </c>
      <c r="D77" s="164" t="s">
        <v>1606</v>
      </c>
      <c r="E77" s="164" t="s">
        <v>708</v>
      </c>
      <c r="F77" s="165">
        <v>10</v>
      </c>
      <c r="G77" s="166">
        <v>11</v>
      </c>
      <c r="H77" s="167">
        <f t="shared" si="9"/>
        <v>110</v>
      </c>
      <c r="I77" s="168">
        <v>0.08</v>
      </c>
      <c r="J77" s="167">
        <f t="shared" si="2"/>
        <v>8.7999999999999972</v>
      </c>
      <c r="K77" s="167">
        <f t="shared" si="3"/>
        <v>118.8</v>
      </c>
    </row>
    <row r="78" spans="2:11" ht="25.5">
      <c r="B78" s="175" t="s">
        <v>345</v>
      </c>
      <c r="C78" s="170" t="s">
        <v>1698</v>
      </c>
      <c r="D78" s="164" t="s">
        <v>1606</v>
      </c>
      <c r="E78" s="171" t="s">
        <v>708</v>
      </c>
      <c r="F78" s="172">
        <v>2</v>
      </c>
      <c r="G78" s="178">
        <f t="shared" si="6"/>
        <v>0</v>
      </c>
      <c r="H78" s="174">
        <f t="shared" si="9"/>
        <v>0</v>
      </c>
      <c r="I78" s="173">
        <v>0.23</v>
      </c>
      <c r="J78" s="174">
        <f t="shared" si="2"/>
        <v>0</v>
      </c>
      <c r="K78" s="174">
        <f t="shared" si="3"/>
        <v>0</v>
      </c>
    </row>
    <row r="79" spans="2:11">
      <c r="B79" s="175" t="s">
        <v>348</v>
      </c>
      <c r="C79" s="170" t="s">
        <v>1699</v>
      </c>
      <c r="D79" s="164" t="s">
        <v>1606</v>
      </c>
      <c r="E79" s="171" t="s">
        <v>1624</v>
      </c>
      <c r="F79" s="172">
        <v>2</v>
      </c>
      <c r="G79" s="178">
        <f t="shared" si="6"/>
        <v>0</v>
      </c>
      <c r="H79" s="174">
        <f t="shared" si="9"/>
        <v>0</v>
      </c>
      <c r="I79" s="173">
        <v>0.23</v>
      </c>
      <c r="J79" s="174">
        <f t="shared" si="2"/>
        <v>0</v>
      </c>
      <c r="K79" s="174">
        <f t="shared" si="3"/>
        <v>0</v>
      </c>
    </row>
    <row r="80" spans="2:11" ht="25.5">
      <c r="B80" s="175" t="s">
        <v>351</v>
      </c>
      <c r="C80" s="170" t="s">
        <v>1700</v>
      </c>
      <c r="D80" s="164" t="s">
        <v>1606</v>
      </c>
      <c r="E80" s="171" t="s">
        <v>1624</v>
      </c>
      <c r="F80" s="172">
        <v>2</v>
      </c>
      <c r="G80" s="178">
        <f t="shared" si="6"/>
        <v>0</v>
      </c>
      <c r="H80" s="174">
        <f t="shared" si="9"/>
        <v>0</v>
      </c>
      <c r="I80" s="173">
        <v>0.23</v>
      </c>
      <c r="J80" s="174">
        <f t="shared" si="2"/>
        <v>0</v>
      </c>
      <c r="K80" s="174">
        <f t="shared" si="3"/>
        <v>0</v>
      </c>
    </row>
    <row r="81" spans="2:11">
      <c r="B81" s="162" t="s">
        <v>356</v>
      </c>
      <c r="C81" s="163" t="s">
        <v>1701</v>
      </c>
      <c r="D81" s="164" t="s">
        <v>1606</v>
      </c>
      <c r="E81" s="164" t="s">
        <v>708</v>
      </c>
      <c r="F81" s="165">
        <v>20</v>
      </c>
      <c r="G81" s="166">
        <f t="shared" si="6"/>
        <v>0</v>
      </c>
      <c r="H81" s="167">
        <f t="shared" si="9"/>
        <v>0</v>
      </c>
      <c r="I81" s="168">
        <v>0.23</v>
      </c>
      <c r="J81" s="167">
        <f t="shared" si="2"/>
        <v>0</v>
      </c>
      <c r="K81" s="167">
        <f t="shared" si="3"/>
        <v>0</v>
      </c>
    </row>
    <row r="82" spans="2:11">
      <c r="B82" s="162" t="s">
        <v>362</v>
      </c>
      <c r="C82" s="163" t="s">
        <v>1702</v>
      </c>
      <c r="D82" s="164" t="s">
        <v>1606</v>
      </c>
      <c r="E82" s="164" t="s">
        <v>708</v>
      </c>
      <c r="F82" s="165">
        <v>20</v>
      </c>
      <c r="G82" s="166">
        <f t="shared" si="6"/>
        <v>0</v>
      </c>
      <c r="H82" s="167">
        <f t="shared" si="9"/>
        <v>0</v>
      </c>
      <c r="I82" s="168">
        <v>0.23</v>
      </c>
      <c r="J82" s="167">
        <f t="shared" si="2"/>
        <v>0</v>
      </c>
      <c r="K82" s="167">
        <f t="shared" si="3"/>
        <v>0</v>
      </c>
    </row>
    <row r="83" spans="2:11">
      <c r="B83" s="162" t="s">
        <v>367</v>
      </c>
      <c r="C83" s="163" t="s">
        <v>1703</v>
      </c>
      <c r="D83" s="164" t="s">
        <v>1606</v>
      </c>
      <c r="E83" s="164" t="s">
        <v>708</v>
      </c>
      <c r="F83" s="165">
        <v>10</v>
      </c>
      <c r="G83" s="166">
        <f t="shared" si="6"/>
        <v>0</v>
      </c>
      <c r="H83" s="167">
        <f t="shared" si="9"/>
        <v>0</v>
      </c>
      <c r="I83" s="168">
        <v>0.23</v>
      </c>
      <c r="J83" s="167">
        <f t="shared" ref="J83:J160" si="10">K83-H83</f>
        <v>0</v>
      </c>
      <c r="K83" s="167">
        <f t="shared" ref="K83:K160" si="11">H83+H83*I83</f>
        <v>0</v>
      </c>
    </row>
    <row r="84" spans="2:11">
      <c r="B84" s="175" t="s">
        <v>371</v>
      </c>
      <c r="C84" s="170" t="s">
        <v>1704</v>
      </c>
      <c r="D84" s="164" t="s">
        <v>1606</v>
      </c>
      <c r="E84" s="171" t="s">
        <v>1624</v>
      </c>
      <c r="F84" s="172">
        <v>5</v>
      </c>
      <c r="G84" s="178">
        <f t="shared" si="6"/>
        <v>0</v>
      </c>
      <c r="H84" s="174">
        <f t="shared" si="9"/>
        <v>0</v>
      </c>
      <c r="I84" s="184">
        <v>0.23</v>
      </c>
      <c r="J84" s="174">
        <f t="shared" si="10"/>
        <v>0</v>
      </c>
      <c r="K84" s="174">
        <f t="shared" si="11"/>
        <v>0</v>
      </c>
    </row>
    <row r="85" spans="2:11">
      <c r="B85" s="162" t="s">
        <v>375</v>
      </c>
      <c r="C85" s="163" t="s">
        <v>1705</v>
      </c>
      <c r="D85" s="164" t="s">
        <v>1606</v>
      </c>
      <c r="E85" s="164" t="s">
        <v>1706</v>
      </c>
      <c r="F85" s="165">
        <v>10</v>
      </c>
      <c r="G85" s="166">
        <f>ROUND(S85*1.12,2)</f>
        <v>0</v>
      </c>
      <c r="H85" s="167">
        <f t="shared" si="9"/>
        <v>0</v>
      </c>
      <c r="I85" s="168">
        <v>0.23</v>
      </c>
      <c r="J85" s="167">
        <f t="shared" si="10"/>
        <v>0</v>
      </c>
      <c r="K85" s="167">
        <f t="shared" si="11"/>
        <v>0</v>
      </c>
    </row>
    <row r="86" spans="2:11">
      <c r="B86" s="162" t="s">
        <v>378</v>
      </c>
      <c r="C86" s="163" t="s">
        <v>1707</v>
      </c>
      <c r="D86" s="164" t="s">
        <v>1606</v>
      </c>
      <c r="E86" s="164" t="s">
        <v>708</v>
      </c>
      <c r="F86" s="165">
        <v>15</v>
      </c>
      <c r="G86" s="166">
        <f t="shared" ref="G86:G87" si="12">ROUND(S86*1.12,2)</f>
        <v>0</v>
      </c>
      <c r="H86" s="167">
        <f t="shared" si="9"/>
        <v>0</v>
      </c>
      <c r="I86" s="168">
        <v>0.23</v>
      </c>
      <c r="J86" s="167">
        <f t="shared" si="10"/>
        <v>0</v>
      </c>
      <c r="K86" s="167">
        <f t="shared" si="11"/>
        <v>0</v>
      </c>
    </row>
    <row r="87" spans="2:11">
      <c r="B87" s="162" t="s">
        <v>381</v>
      </c>
      <c r="C87" s="163" t="s">
        <v>1708</v>
      </c>
      <c r="D87" s="164" t="s">
        <v>1606</v>
      </c>
      <c r="E87" s="164" t="s">
        <v>708</v>
      </c>
      <c r="F87" s="165">
        <v>10</v>
      </c>
      <c r="G87" s="166">
        <f t="shared" si="12"/>
        <v>0</v>
      </c>
      <c r="H87" s="167">
        <f t="shared" si="9"/>
        <v>0</v>
      </c>
      <c r="I87" s="168">
        <v>0.23</v>
      </c>
      <c r="J87" s="167">
        <f t="shared" si="10"/>
        <v>0</v>
      </c>
      <c r="K87" s="167">
        <f t="shared" si="11"/>
        <v>0</v>
      </c>
    </row>
    <row r="88" spans="2:11">
      <c r="B88" s="162" t="s">
        <v>385</v>
      </c>
      <c r="C88" s="163" t="s">
        <v>1709</v>
      </c>
      <c r="D88" s="164" t="s">
        <v>1606</v>
      </c>
      <c r="E88" s="164" t="s">
        <v>708</v>
      </c>
      <c r="F88" s="165">
        <v>10</v>
      </c>
      <c r="G88" s="166">
        <f t="shared" si="6"/>
        <v>0</v>
      </c>
      <c r="H88" s="167">
        <f t="shared" si="9"/>
        <v>0</v>
      </c>
      <c r="I88" s="168">
        <v>0.23</v>
      </c>
      <c r="J88" s="167">
        <f t="shared" si="10"/>
        <v>0</v>
      </c>
      <c r="K88" s="167">
        <f t="shared" si="11"/>
        <v>0</v>
      </c>
    </row>
    <row r="89" spans="2:11">
      <c r="B89" s="162" t="s">
        <v>388</v>
      </c>
      <c r="C89" s="163" t="s">
        <v>1710</v>
      </c>
      <c r="D89" s="164" t="s">
        <v>1606</v>
      </c>
      <c r="E89" s="164" t="s">
        <v>708</v>
      </c>
      <c r="F89" s="165">
        <v>2</v>
      </c>
      <c r="G89" s="166">
        <f t="shared" si="6"/>
        <v>0</v>
      </c>
      <c r="H89" s="167">
        <f t="shared" si="9"/>
        <v>0</v>
      </c>
      <c r="I89" s="168">
        <v>0.23</v>
      </c>
      <c r="J89" s="167">
        <f t="shared" si="10"/>
        <v>0</v>
      </c>
      <c r="K89" s="167">
        <f t="shared" si="11"/>
        <v>0</v>
      </c>
    </row>
    <row r="90" spans="2:11">
      <c r="B90" s="162" t="s">
        <v>393</v>
      </c>
      <c r="C90" s="163" t="s">
        <v>1711</v>
      </c>
      <c r="D90" s="164" t="s">
        <v>1606</v>
      </c>
      <c r="E90" s="164" t="s">
        <v>708</v>
      </c>
      <c r="F90" s="165">
        <v>10</v>
      </c>
      <c r="G90" s="166">
        <f>ROUND(S90*1.13,2)</f>
        <v>0</v>
      </c>
      <c r="H90" s="167">
        <f t="shared" si="9"/>
        <v>0</v>
      </c>
      <c r="I90" s="168">
        <v>0.23</v>
      </c>
      <c r="J90" s="167">
        <f t="shared" si="10"/>
        <v>0</v>
      </c>
      <c r="K90" s="167">
        <f t="shared" si="11"/>
        <v>0</v>
      </c>
    </row>
    <row r="91" spans="2:11">
      <c r="B91" s="162" t="s">
        <v>398</v>
      </c>
      <c r="C91" s="163" t="s">
        <v>1712</v>
      </c>
      <c r="D91" s="164" t="s">
        <v>1606</v>
      </c>
      <c r="E91" s="164" t="s">
        <v>1617</v>
      </c>
      <c r="F91" s="165">
        <v>100</v>
      </c>
      <c r="G91" s="166">
        <f t="shared" si="6"/>
        <v>0</v>
      </c>
      <c r="H91" s="167">
        <f t="shared" si="9"/>
        <v>0</v>
      </c>
      <c r="I91" s="168">
        <v>0.08</v>
      </c>
      <c r="J91" s="167">
        <f t="shared" si="10"/>
        <v>0</v>
      </c>
      <c r="K91" s="167">
        <f t="shared" si="11"/>
        <v>0</v>
      </c>
    </row>
    <row r="92" spans="2:11">
      <c r="B92" s="162" t="s">
        <v>403</v>
      </c>
      <c r="C92" s="163" t="s">
        <v>1713</v>
      </c>
      <c r="D92" s="164" t="s">
        <v>1606</v>
      </c>
      <c r="E92" s="164" t="s">
        <v>1617</v>
      </c>
      <c r="F92" s="165">
        <v>100</v>
      </c>
      <c r="G92" s="166">
        <f t="shared" si="6"/>
        <v>0</v>
      </c>
      <c r="H92" s="167">
        <f t="shared" si="9"/>
        <v>0</v>
      </c>
      <c r="I92" s="168">
        <v>0.08</v>
      </c>
      <c r="J92" s="167">
        <f t="shared" si="10"/>
        <v>0</v>
      </c>
      <c r="K92" s="167">
        <f t="shared" si="11"/>
        <v>0</v>
      </c>
    </row>
    <row r="93" spans="2:11">
      <c r="B93" s="162" t="s">
        <v>405</v>
      </c>
      <c r="C93" s="163" t="s">
        <v>1714</v>
      </c>
      <c r="D93" s="164" t="s">
        <v>1606</v>
      </c>
      <c r="E93" s="164" t="s">
        <v>708</v>
      </c>
      <c r="F93" s="165">
        <v>30</v>
      </c>
      <c r="G93" s="166">
        <f t="shared" si="6"/>
        <v>0</v>
      </c>
      <c r="H93" s="167">
        <f t="shared" si="9"/>
        <v>0</v>
      </c>
      <c r="I93" s="168">
        <v>0.23</v>
      </c>
      <c r="J93" s="167">
        <f t="shared" si="10"/>
        <v>0</v>
      </c>
      <c r="K93" s="167">
        <f t="shared" si="11"/>
        <v>0</v>
      </c>
    </row>
    <row r="94" spans="2:11">
      <c r="B94" s="162" t="s">
        <v>409</v>
      </c>
      <c r="C94" s="163" t="s">
        <v>1715</v>
      </c>
      <c r="D94" s="164" t="s">
        <v>1606</v>
      </c>
      <c r="E94" s="164" t="s">
        <v>708</v>
      </c>
      <c r="F94" s="165">
        <v>10</v>
      </c>
      <c r="G94" s="166">
        <f t="shared" si="6"/>
        <v>0</v>
      </c>
      <c r="H94" s="167">
        <f t="shared" si="9"/>
        <v>0</v>
      </c>
      <c r="I94" s="168">
        <v>0.23</v>
      </c>
      <c r="J94" s="167">
        <f t="shared" si="10"/>
        <v>0</v>
      </c>
      <c r="K94" s="167">
        <f t="shared" si="11"/>
        <v>0</v>
      </c>
    </row>
    <row r="95" spans="2:11">
      <c r="B95" s="162" t="s">
        <v>412</v>
      </c>
      <c r="C95" s="163" t="s">
        <v>1716</v>
      </c>
      <c r="D95" s="164" t="s">
        <v>1606</v>
      </c>
      <c r="E95" s="164" t="s">
        <v>708</v>
      </c>
      <c r="F95" s="165">
        <v>10</v>
      </c>
      <c r="G95" s="166">
        <f t="shared" si="6"/>
        <v>0</v>
      </c>
      <c r="H95" s="167">
        <f t="shared" si="9"/>
        <v>0</v>
      </c>
      <c r="I95" s="168">
        <v>0.23</v>
      </c>
      <c r="J95" s="167">
        <f t="shared" si="10"/>
        <v>0</v>
      </c>
      <c r="K95" s="167">
        <f t="shared" si="11"/>
        <v>0</v>
      </c>
    </row>
    <row r="96" spans="2:11" ht="25.5">
      <c r="B96" s="162" t="s">
        <v>415</v>
      </c>
      <c r="C96" s="163" t="s">
        <v>1717</v>
      </c>
      <c r="D96" s="164" t="s">
        <v>1606</v>
      </c>
      <c r="E96" s="164" t="s">
        <v>708</v>
      </c>
      <c r="F96" s="165">
        <v>20</v>
      </c>
      <c r="G96" s="166">
        <f t="shared" si="6"/>
        <v>0</v>
      </c>
      <c r="H96" s="167">
        <f t="shared" si="9"/>
        <v>0</v>
      </c>
      <c r="I96" s="168">
        <v>0.23</v>
      </c>
      <c r="J96" s="167">
        <f t="shared" si="10"/>
        <v>0</v>
      </c>
      <c r="K96" s="167">
        <f t="shared" si="11"/>
        <v>0</v>
      </c>
    </row>
    <row r="97" spans="2:11" ht="25.5">
      <c r="B97" s="162" t="s">
        <v>421</v>
      </c>
      <c r="C97" s="163" t="s">
        <v>1718</v>
      </c>
      <c r="D97" s="164" t="s">
        <v>1606</v>
      </c>
      <c r="E97" s="164" t="s">
        <v>708</v>
      </c>
      <c r="F97" s="165">
        <v>20</v>
      </c>
      <c r="G97" s="166">
        <f t="shared" si="6"/>
        <v>0</v>
      </c>
      <c r="H97" s="167">
        <f t="shared" si="9"/>
        <v>0</v>
      </c>
      <c r="I97" s="168">
        <v>0.23</v>
      </c>
      <c r="J97" s="167">
        <f t="shared" si="10"/>
        <v>0</v>
      </c>
      <c r="K97" s="167">
        <f t="shared" si="11"/>
        <v>0</v>
      </c>
    </row>
    <row r="98" spans="2:11">
      <c r="B98" s="162" t="s">
        <v>425</v>
      </c>
      <c r="C98" s="163" t="s">
        <v>1719</v>
      </c>
      <c r="D98" s="164" t="s">
        <v>1606</v>
      </c>
      <c r="E98" s="164" t="s">
        <v>708</v>
      </c>
      <c r="F98" s="165">
        <v>30</v>
      </c>
      <c r="G98" s="166">
        <f t="shared" si="6"/>
        <v>0</v>
      </c>
      <c r="H98" s="167">
        <f t="shared" si="9"/>
        <v>0</v>
      </c>
      <c r="I98" s="168">
        <v>0.23</v>
      </c>
      <c r="J98" s="167">
        <f t="shared" si="10"/>
        <v>0</v>
      </c>
      <c r="K98" s="167">
        <f t="shared" si="11"/>
        <v>0</v>
      </c>
    </row>
    <row r="99" spans="2:11">
      <c r="B99" s="162" t="s">
        <v>431</v>
      </c>
      <c r="C99" s="170" t="s">
        <v>1720</v>
      </c>
      <c r="D99" s="164" t="s">
        <v>1606</v>
      </c>
      <c r="E99" s="171" t="s">
        <v>708</v>
      </c>
      <c r="F99" s="172">
        <v>20</v>
      </c>
      <c r="G99" s="166">
        <f t="shared" si="6"/>
        <v>0</v>
      </c>
      <c r="H99" s="167">
        <f t="shared" si="9"/>
        <v>0</v>
      </c>
      <c r="I99" s="173">
        <v>0.23</v>
      </c>
      <c r="J99" s="167">
        <f t="shared" si="10"/>
        <v>0</v>
      </c>
      <c r="K99" s="167">
        <f t="shared" si="11"/>
        <v>0</v>
      </c>
    </row>
    <row r="100" spans="2:11" ht="25.5">
      <c r="B100" s="162" t="s">
        <v>436</v>
      </c>
      <c r="C100" s="163" t="s">
        <v>1721</v>
      </c>
      <c r="D100" s="164" t="s">
        <v>1606</v>
      </c>
      <c r="E100" s="164" t="s">
        <v>708</v>
      </c>
      <c r="F100" s="165">
        <v>5</v>
      </c>
      <c r="G100" s="166">
        <f t="shared" si="6"/>
        <v>0</v>
      </c>
      <c r="H100" s="167">
        <f t="shared" si="9"/>
        <v>0</v>
      </c>
      <c r="I100" s="173">
        <v>0.23</v>
      </c>
      <c r="J100" s="167">
        <f t="shared" si="10"/>
        <v>0</v>
      </c>
      <c r="K100" s="167">
        <f t="shared" si="11"/>
        <v>0</v>
      </c>
    </row>
    <row r="101" spans="2:11" ht="25.5">
      <c r="B101" s="162" t="s">
        <v>438</v>
      </c>
      <c r="C101" s="163" t="s">
        <v>1722</v>
      </c>
      <c r="D101" s="164" t="s">
        <v>1606</v>
      </c>
      <c r="E101" s="164" t="s">
        <v>1624</v>
      </c>
      <c r="F101" s="165">
        <v>2</v>
      </c>
      <c r="G101" s="166">
        <f>ROUND(S101*1.11,2)</f>
        <v>0</v>
      </c>
      <c r="H101" s="167">
        <f t="shared" si="9"/>
        <v>0</v>
      </c>
      <c r="I101" s="173">
        <v>0.23</v>
      </c>
      <c r="J101" s="167">
        <f t="shared" si="10"/>
        <v>0</v>
      </c>
      <c r="K101" s="167">
        <f t="shared" si="11"/>
        <v>0</v>
      </c>
    </row>
    <row r="102" spans="2:11" ht="25.5">
      <c r="B102" s="162" t="s">
        <v>442</v>
      </c>
      <c r="C102" s="163" t="s">
        <v>1723</v>
      </c>
      <c r="D102" s="164" t="s">
        <v>1606</v>
      </c>
      <c r="E102" s="164" t="s">
        <v>1624</v>
      </c>
      <c r="F102" s="165">
        <v>2</v>
      </c>
      <c r="G102" s="166">
        <f>ROUND(S102*1.11,2)</f>
        <v>0</v>
      </c>
      <c r="H102" s="167">
        <f t="shared" si="9"/>
        <v>0</v>
      </c>
      <c r="I102" s="173">
        <v>0.23</v>
      </c>
      <c r="J102" s="167">
        <f t="shared" si="10"/>
        <v>0</v>
      </c>
      <c r="K102" s="167">
        <f t="shared" si="11"/>
        <v>0</v>
      </c>
    </row>
    <row r="103" spans="2:11" ht="25.5">
      <c r="B103" s="162" t="s">
        <v>444</v>
      </c>
      <c r="C103" s="163" t="s">
        <v>1724</v>
      </c>
      <c r="D103" s="164" t="s">
        <v>1606</v>
      </c>
      <c r="E103" s="164" t="s">
        <v>708</v>
      </c>
      <c r="F103" s="165">
        <v>2</v>
      </c>
      <c r="G103" s="166">
        <f>ROUND(S103*1.11,2)</f>
        <v>0</v>
      </c>
      <c r="H103" s="167">
        <f t="shared" si="9"/>
        <v>0</v>
      </c>
      <c r="I103" s="173">
        <v>0.23</v>
      </c>
      <c r="J103" s="167">
        <f t="shared" si="10"/>
        <v>0</v>
      </c>
      <c r="K103" s="167">
        <f t="shared" si="11"/>
        <v>0</v>
      </c>
    </row>
    <row r="104" spans="2:11">
      <c r="B104" s="162" t="s">
        <v>449</v>
      </c>
      <c r="C104" s="163" t="s">
        <v>1725</v>
      </c>
      <c r="D104" s="164" t="s">
        <v>1606</v>
      </c>
      <c r="E104" s="164" t="s">
        <v>708</v>
      </c>
      <c r="F104" s="165">
        <v>5</v>
      </c>
      <c r="G104" s="166">
        <f t="shared" si="6"/>
        <v>0</v>
      </c>
      <c r="H104" s="167">
        <f t="shared" si="9"/>
        <v>0</v>
      </c>
      <c r="I104" s="168">
        <v>0.23</v>
      </c>
      <c r="J104" s="167">
        <f t="shared" si="10"/>
        <v>0</v>
      </c>
      <c r="K104" s="167">
        <f t="shared" si="11"/>
        <v>0</v>
      </c>
    </row>
    <row r="105" spans="2:11">
      <c r="B105" s="162" t="s">
        <v>453</v>
      </c>
      <c r="C105" s="163" t="s">
        <v>1726</v>
      </c>
      <c r="D105" s="164" t="s">
        <v>1606</v>
      </c>
      <c r="E105" s="164" t="s">
        <v>708</v>
      </c>
      <c r="F105" s="165">
        <v>5</v>
      </c>
      <c r="G105" s="166">
        <f t="shared" si="6"/>
        <v>0</v>
      </c>
      <c r="H105" s="167">
        <f t="shared" si="9"/>
        <v>0</v>
      </c>
      <c r="I105" s="168">
        <v>0.23</v>
      </c>
      <c r="J105" s="167">
        <f t="shared" si="10"/>
        <v>0</v>
      </c>
      <c r="K105" s="167">
        <f t="shared" si="11"/>
        <v>0</v>
      </c>
    </row>
    <row r="106" spans="2:11">
      <c r="B106" s="162" t="s">
        <v>458</v>
      </c>
      <c r="C106" s="163" t="s">
        <v>1727</v>
      </c>
      <c r="D106" s="164" t="s">
        <v>1606</v>
      </c>
      <c r="E106" s="164" t="s">
        <v>708</v>
      </c>
      <c r="F106" s="165">
        <v>10</v>
      </c>
      <c r="G106" s="166">
        <f t="shared" si="6"/>
        <v>0</v>
      </c>
      <c r="H106" s="167">
        <f t="shared" si="9"/>
        <v>0</v>
      </c>
      <c r="I106" s="168">
        <v>0.23</v>
      </c>
      <c r="J106" s="167">
        <f t="shared" si="10"/>
        <v>0</v>
      </c>
      <c r="K106" s="167">
        <f t="shared" si="11"/>
        <v>0</v>
      </c>
    </row>
    <row r="107" spans="2:11">
      <c r="B107" s="162" t="s">
        <v>462</v>
      </c>
      <c r="C107" s="163" t="s">
        <v>1728</v>
      </c>
      <c r="D107" s="164" t="s">
        <v>1606</v>
      </c>
      <c r="E107" s="164" t="s">
        <v>1624</v>
      </c>
      <c r="F107" s="165">
        <v>10</v>
      </c>
      <c r="G107" s="166">
        <f t="shared" si="6"/>
        <v>0</v>
      </c>
      <c r="H107" s="167">
        <f t="shared" si="9"/>
        <v>0</v>
      </c>
      <c r="I107" s="168">
        <v>0.23</v>
      </c>
      <c r="J107" s="167">
        <f t="shared" si="10"/>
        <v>0</v>
      </c>
      <c r="K107" s="167">
        <f t="shared" si="11"/>
        <v>0</v>
      </c>
    </row>
    <row r="108" spans="2:11">
      <c r="B108" s="162" t="s">
        <v>466</v>
      </c>
      <c r="C108" s="163" t="s">
        <v>1729</v>
      </c>
      <c r="D108" s="164" t="s">
        <v>1730</v>
      </c>
      <c r="E108" s="164" t="s">
        <v>1617</v>
      </c>
      <c r="F108" s="165">
        <v>80</v>
      </c>
      <c r="G108" s="166">
        <f>ROUND(S108*1.19,2)</f>
        <v>0</v>
      </c>
      <c r="H108" s="167">
        <f t="shared" si="9"/>
        <v>0</v>
      </c>
      <c r="I108" s="168">
        <v>0.08</v>
      </c>
      <c r="J108" s="167">
        <f t="shared" si="10"/>
        <v>0</v>
      </c>
      <c r="K108" s="167">
        <f t="shared" si="11"/>
        <v>0</v>
      </c>
    </row>
    <row r="109" spans="2:11" ht="25.5">
      <c r="B109" s="175" t="s">
        <v>470</v>
      </c>
      <c r="C109" s="170" t="s">
        <v>1731</v>
      </c>
      <c r="D109" s="164" t="s">
        <v>1732</v>
      </c>
      <c r="E109" s="164" t="s">
        <v>1617</v>
      </c>
      <c r="F109" s="165">
        <v>10</v>
      </c>
      <c r="G109" s="166">
        <f>ROUND(S109*1.2,2)</f>
        <v>0</v>
      </c>
      <c r="H109" s="174">
        <f t="shared" si="9"/>
        <v>0</v>
      </c>
      <c r="I109" s="173">
        <v>0.08</v>
      </c>
      <c r="J109" s="174">
        <f t="shared" si="10"/>
        <v>0</v>
      </c>
      <c r="K109" s="174">
        <f t="shared" si="11"/>
        <v>0</v>
      </c>
    </row>
    <row r="110" spans="2:11" ht="25.5">
      <c r="B110" s="175" t="s">
        <v>474</v>
      </c>
      <c r="C110" s="170" t="s">
        <v>1733</v>
      </c>
      <c r="D110" s="164" t="s">
        <v>1734</v>
      </c>
      <c r="E110" s="164" t="s">
        <v>1617</v>
      </c>
      <c r="F110" s="165">
        <v>5</v>
      </c>
      <c r="G110" s="166">
        <f>ROUND(S110*1.2,2)</f>
        <v>0</v>
      </c>
      <c r="H110" s="174">
        <f t="shared" si="9"/>
        <v>0</v>
      </c>
      <c r="I110" s="173">
        <v>0.08</v>
      </c>
      <c r="J110" s="174">
        <f t="shared" si="10"/>
        <v>0</v>
      </c>
      <c r="K110" s="174">
        <f t="shared" si="11"/>
        <v>0</v>
      </c>
    </row>
    <row r="111" spans="2:11">
      <c r="B111" s="175" t="s">
        <v>479</v>
      </c>
      <c r="C111" s="170" t="s">
        <v>1735</v>
      </c>
      <c r="D111" s="164" t="s">
        <v>1736</v>
      </c>
      <c r="E111" s="171" t="s">
        <v>1617</v>
      </c>
      <c r="F111" s="172">
        <v>2</v>
      </c>
      <c r="G111" s="166">
        <f>ROUND(S111*1.1,2)</f>
        <v>0</v>
      </c>
      <c r="H111" s="174">
        <f t="shared" si="9"/>
        <v>0</v>
      </c>
      <c r="I111" s="173">
        <v>0.23</v>
      </c>
      <c r="J111" s="174">
        <f t="shared" si="10"/>
        <v>0</v>
      </c>
      <c r="K111" s="174">
        <f t="shared" si="11"/>
        <v>0</v>
      </c>
    </row>
    <row r="112" spans="2:11">
      <c r="B112" s="175" t="s">
        <v>482</v>
      </c>
      <c r="C112" s="170" t="s">
        <v>1737</v>
      </c>
      <c r="D112" s="164" t="s">
        <v>1736</v>
      </c>
      <c r="E112" s="171" t="s">
        <v>1617</v>
      </c>
      <c r="F112" s="172">
        <v>2</v>
      </c>
      <c r="G112" s="166">
        <f>ROUND(S112*1.08,2)</f>
        <v>0</v>
      </c>
      <c r="H112" s="174">
        <f t="shared" si="9"/>
        <v>0</v>
      </c>
      <c r="I112" s="173">
        <v>0.23</v>
      </c>
      <c r="J112" s="174">
        <f t="shared" si="10"/>
        <v>0</v>
      </c>
      <c r="K112" s="174">
        <f t="shared" si="11"/>
        <v>0</v>
      </c>
    </row>
    <row r="113" spans="2:11">
      <c r="B113" s="162" t="s">
        <v>486</v>
      </c>
      <c r="C113" s="163" t="s">
        <v>1738</v>
      </c>
      <c r="D113" s="164" t="s">
        <v>1606</v>
      </c>
      <c r="E113" s="164" t="s">
        <v>1739</v>
      </c>
      <c r="F113" s="165">
        <v>25</v>
      </c>
      <c r="G113" s="166">
        <f>ROUND(S113*1.15,2)</f>
        <v>0</v>
      </c>
      <c r="H113" s="167">
        <f t="shared" si="9"/>
        <v>0</v>
      </c>
      <c r="I113" s="173">
        <v>0.23</v>
      </c>
      <c r="J113" s="167">
        <f t="shared" si="10"/>
        <v>0</v>
      </c>
      <c r="K113" s="167">
        <f t="shared" si="11"/>
        <v>0</v>
      </c>
    </row>
    <row r="114" spans="2:11">
      <c r="B114" s="162" t="s">
        <v>490</v>
      </c>
      <c r="C114" s="163" t="s">
        <v>1740</v>
      </c>
      <c r="D114" s="164" t="s">
        <v>1606</v>
      </c>
      <c r="E114" s="164" t="s">
        <v>1739</v>
      </c>
      <c r="F114" s="165">
        <v>25</v>
      </c>
      <c r="G114" s="166">
        <f>ROUND(S114*1.15,2)</f>
        <v>0</v>
      </c>
      <c r="H114" s="167">
        <f t="shared" si="9"/>
        <v>0</v>
      </c>
      <c r="I114" s="173">
        <v>0.23</v>
      </c>
      <c r="J114" s="167">
        <f t="shared" si="10"/>
        <v>0</v>
      </c>
      <c r="K114" s="167">
        <f t="shared" si="11"/>
        <v>0</v>
      </c>
    </row>
    <row r="115" spans="2:11">
      <c r="B115" s="162" t="s">
        <v>493</v>
      </c>
      <c r="C115" s="170" t="s">
        <v>1741</v>
      </c>
      <c r="D115" s="179" t="s">
        <v>1606</v>
      </c>
      <c r="E115" s="180" t="s">
        <v>708</v>
      </c>
      <c r="F115" s="181">
        <v>10</v>
      </c>
      <c r="G115" s="182">
        <f>ROUND(S115*0.5,2)</f>
        <v>0</v>
      </c>
      <c r="H115" s="167">
        <f t="shared" si="9"/>
        <v>0</v>
      </c>
      <c r="I115" s="173">
        <v>0.23</v>
      </c>
      <c r="J115" s="174">
        <f t="shared" si="10"/>
        <v>0</v>
      </c>
      <c r="K115" s="174">
        <f t="shared" si="11"/>
        <v>0</v>
      </c>
    </row>
    <row r="116" spans="2:11">
      <c r="B116" s="162" t="s">
        <v>494</v>
      </c>
      <c r="C116" s="187" t="s">
        <v>1742</v>
      </c>
      <c r="D116" s="164"/>
      <c r="E116" s="188" t="s">
        <v>708</v>
      </c>
      <c r="F116" s="189">
        <v>10</v>
      </c>
      <c r="G116" s="166">
        <f>ROUND(S116*1.1,2)</f>
        <v>0</v>
      </c>
      <c r="H116" s="167">
        <f t="shared" si="9"/>
        <v>0</v>
      </c>
      <c r="I116" s="190">
        <v>0.23</v>
      </c>
      <c r="J116" s="191">
        <f t="shared" si="10"/>
        <v>0</v>
      </c>
      <c r="K116" s="191">
        <f t="shared" si="11"/>
        <v>0</v>
      </c>
    </row>
    <row r="117" spans="2:11">
      <c r="B117" s="175" t="s">
        <v>498</v>
      </c>
      <c r="C117" s="170" t="s">
        <v>1743</v>
      </c>
      <c r="D117" s="164" t="s">
        <v>1627</v>
      </c>
      <c r="E117" s="171" t="s">
        <v>1617</v>
      </c>
      <c r="F117" s="172">
        <v>100</v>
      </c>
      <c r="G117" s="178">
        <f>ROUND(S117*1.26,2)</f>
        <v>0</v>
      </c>
      <c r="H117" s="174">
        <f t="shared" si="9"/>
        <v>0</v>
      </c>
      <c r="I117" s="173">
        <v>0.08</v>
      </c>
      <c r="J117" s="174">
        <f t="shared" si="10"/>
        <v>0</v>
      </c>
      <c r="K117" s="174">
        <f t="shared" si="11"/>
        <v>0</v>
      </c>
    </row>
    <row r="118" spans="2:11">
      <c r="B118" s="175" t="s">
        <v>500</v>
      </c>
      <c r="C118" s="170" t="s">
        <v>1744</v>
      </c>
      <c r="D118" s="164" t="s">
        <v>1627</v>
      </c>
      <c r="E118" s="171" t="s">
        <v>1617</v>
      </c>
      <c r="F118" s="172">
        <v>200</v>
      </c>
      <c r="G118" s="178">
        <f t="shared" ref="G118:G122" si="13">ROUND(S118*1.26,2)</f>
        <v>0</v>
      </c>
      <c r="H118" s="174">
        <f t="shared" si="9"/>
        <v>0</v>
      </c>
      <c r="I118" s="173">
        <v>0.08</v>
      </c>
      <c r="J118" s="174">
        <f t="shared" si="10"/>
        <v>0</v>
      </c>
      <c r="K118" s="174">
        <f t="shared" si="11"/>
        <v>0</v>
      </c>
    </row>
    <row r="119" spans="2:11">
      <c r="B119" s="175" t="s">
        <v>504</v>
      </c>
      <c r="C119" s="170" t="s">
        <v>1745</v>
      </c>
      <c r="D119" s="164" t="s">
        <v>1619</v>
      </c>
      <c r="E119" s="171" t="s">
        <v>1617</v>
      </c>
      <c r="F119" s="172">
        <v>100</v>
      </c>
      <c r="G119" s="178">
        <f t="shared" si="13"/>
        <v>0</v>
      </c>
      <c r="H119" s="174">
        <f t="shared" si="9"/>
        <v>0</v>
      </c>
      <c r="I119" s="173">
        <v>0.08</v>
      </c>
      <c r="J119" s="174">
        <f t="shared" si="10"/>
        <v>0</v>
      </c>
      <c r="K119" s="174">
        <f t="shared" si="11"/>
        <v>0</v>
      </c>
    </row>
    <row r="120" spans="2:11">
      <c r="B120" s="175" t="s">
        <v>508</v>
      </c>
      <c r="C120" s="170" t="s">
        <v>1746</v>
      </c>
      <c r="D120" s="164" t="s">
        <v>1619</v>
      </c>
      <c r="E120" s="171" t="s">
        <v>1617</v>
      </c>
      <c r="F120" s="172">
        <v>200</v>
      </c>
      <c r="G120" s="178">
        <f t="shared" si="13"/>
        <v>0</v>
      </c>
      <c r="H120" s="174">
        <f t="shared" si="9"/>
        <v>0</v>
      </c>
      <c r="I120" s="173">
        <v>0.08</v>
      </c>
      <c r="J120" s="174">
        <f t="shared" si="10"/>
        <v>0</v>
      </c>
      <c r="K120" s="174">
        <f t="shared" si="11"/>
        <v>0</v>
      </c>
    </row>
    <row r="121" spans="2:11">
      <c r="B121" s="175" t="s">
        <v>512</v>
      </c>
      <c r="C121" s="170" t="s">
        <v>1747</v>
      </c>
      <c r="D121" s="164" t="s">
        <v>1627</v>
      </c>
      <c r="E121" s="171" t="s">
        <v>1617</v>
      </c>
      <c r="F121" s="172">
        <v>100</v>
      </c>
      <c r="G121" s="178">
        <f t="shared" si="13"/>
        <v>0</v>
      </c>
      <c r="H121" s="174">
        <f t="shared" si="9"/>
        <v>0</v>
      </c>
      <c r="I121" s="173">
        <v>0.08</v>
      </c>
      <c r="J121" s="174">
        <f t="shared" si="10"/>
        <v>0</v>
      </c>
      <c r="K121" s="174">
        <f t="shared" si="11"/>
        <v>0</v>
      </c>
    </row>
    <row r="122" spans="2:11">
      <c r="B122" s="175" t="s">
        <v>515</v>
      </c>
      <c r="C122" s="170" t="s">
        <v>1748</v>
      </c>
      <c r="D122" s="164" t="s">
        <v>1681</v>
      </c>
      <c r="E122" s="171" t="s">
        <v>1617</v>
      </c>
      <c r="F122" s="172">
        <v>100</v>
      </c>
      <c r="G122" s="178">
        <f t="shared" si="13"/>
        <v>0</v>
      </c>
      <c r="H122" s="174">
        <f t="shared" si="9"/>
        <v>0</v>
      </c>
      <c r="I122" s="173">
        <v>0.08</v>
      </c>
      <c r="J122" s="174">
        <f t="shared" si="10"/>
        <v>0</v>
      </c>
      <c r="K122" s="174">
        <f t="shared" si="11"/>
        <v>0</v>
      </c>
    </row>
    <row r="123" spans="2:11">
      <c r="B123" s="175" t="s">
        <v>519</v>
      </c>
      <c r="C123" s="170" t="s">
        <v>1749</v>
      </c>
      <c r="D123" s="164" t="s">
        <v>1619</v>
      </c>
      <c r="E123" s="171" t="s">
        <v>1617</v>
      </c>
      <c r="F123" s="172">
        <v>100</v>
      </c>
      <c r="G123" s="178">
        <v>17.11</v>
      </c>
      <c r="H123" s="174">
        <f t="shared" si="9"/>
        <v>1711</v>
      </c>
      <c r="I123" s="173">
        <v>0.08</v>
      </c>
      <c r="J123" s="174">
        <f t="shared" si="10"/>
        <v>136.88000000000011</v>
      </c>
      <c r="K123" s="174">
        <f t="shared" si="11"/>
        <v>1847.88</v>
      </c>
    </row>
    <row r="124" spans="2:11">
      <c r="B124" s="175" t="s">
        <v>522</v>
      </c>
      <c r="C124" s="170" t="s">
        <v>1750</v>
      </c>
      <c r="D124" s="164" t="s">
        <v>1619</v>
      </c>
      <c r="E124" s="171" t="s">
        <v>1617</v>
      </c>
      <c r="F124" s="172">
        <v>100</v>
      </c>
      <c r="G124" s="178">
        <f t="shared" ref="G124" si="14">ROUND(S124*1.15,2)</f>
        <v>0</v>
      </c>
      <c r="H124" s="174">
        <f t="shared" si="9"/>
        <v>0</v>
      </c>
      <c r="I124" s="173">
        <v>0.08</v>
      </c>
      <c r="J124" s="174">
        <f t="shared" si="10"/>
        <v>0</v>
      </c>
      <c r="K124" s="174">
        <f t="shared" si="11"/>
        <v>0</v>
      </c>
    </row>
    <row r="125" spans="2:11">
      <c r="B125" s="175" t="s">
        <v>526</v>
      </c>
      <c r="C125" s="170" t="s">
        <v>1751</v>
      </c>
      <c r="D125" s="164" t="s">
        <v>1636</v>
      </c>
      <c r="E125" s="171" t="s">
        <v>1637</v>
      </c>
      <c r="F125" s="172">
        <v>100</v>
      </c>
      <c r="G125" s="178">
        <f>ROUND(S125*1.18,2)</f>
        <v>0</v>
      </c>
      <c r="H125" s="174">
        <f t="shared" si="9"/>
        <v>0</v>
      </c>
      <c r="I125" s="173">
        <v>0.08</v>
      </c>
      <c r="J125" s="174">
        <f t="shared" si="10"/>
        <v>0</v>
      </c>
      <c r="K125" s="174">
        <f t="shared" si="11"/>
        <v>0</v>
      </c>
    </row>
    <row r="126" spans="2:11" ht="25.5">
      <c r="B126" s="175" t="s">
        <v>530</v>
      </c>
      <c r="C126" s="170" t="s">
        <v>1752</v>
      </c>
      <c r="D126" s="176" t="s">
        <v>1642</v>
      </c>
      <c r="E126" s="176" t="s">
        <v>1624</v>
      </c>
      <c r="F126" s="177">
        <v>2</v>
      </c>
      <c r="G126" s="178">
        <f>ROUND(S126*1.12,2)</f>
        <v>0</v>
      </c>
      <c r="H126" s="174">
        <f t="shared" si="9"/>
        <v>0</v>
      </c>
      <c r="I126" s="173">
        <v>0.23</v>
      </c>
      <c r="J126" s="174">
        <f t="shared" si="10"/>
        <v>0</v>
      </c>
      <c r="K126" s="174">
        <f t="shared" si="11"/>
        <v>0</v>
      </c>
    </row>
    <row r="127" spans="2:11">
      <c r="B127" s="175" t="s">
        <v>533</v>
      </c>
      <c r="C127" s="170" t="s">
        <v>1753</v>
      </c>
      <c r="D127" s="164" t="s">
        <v>1646</v>
      </c>
      <c r="E127" s="164" t="s">
        <v>1617</v>
      </c>
      <c r="F127" s="165">
        <v>2</v>
      </c>
      <c r="G127" s="178">
        <f>ROUND(S127*1.12,2)</f>
        <v>0</v>
      </c>
      <c r="H127" s="174">
        <f t="shared" si="9"/>
        <v>0</v>
      </c>
      <c r="I127" s="173">
        <v>0.08</v>
      </c>
      <c r="J127" s="174">
        <f t="shared" si="10"/>
        <v>0</v>
      </c>
      <c r="K127" s="174">
        <f t="shared" si="11"/>
        <v>0</v>
      </c>
    </row>
    <row r="128" spans="2:11">
      <c r="B128" s="175" t="s">
        <v>536</v>
      </c>
      <c r="C128" s="170" t="s">
        <v>1754</v>
      </c>
      <c r="D128" s="164" t="s">
        <v>1646</v>
      </c>
      <c r="E128" s="164" t="s">
        <v>1617</v>
      </c>
      <c r="F128" s="165">
        <v>2</v>
      </c>
      <c r="G128" s="178">
        <f>ROUND(S128*1.12,2)</f>
        <v>0</v>
      </c>
      <c r="H128" s="174">
        <f t="shared" si="9"/>
        <v>0</v>
      </c>
      <c r="I128" s="173">
        <v>0.08</v>
      </c>
      <c r="J128" s="174">
        <f t="shared" si="10"/>
        <v>0</v>
      </c>
      <c r="K128" s="174">
        <f t="shared" si="11"/>
        <v>0</v>
      </c>
    </row>
    <row r="129" spans="2:11" ht="25.5">
      <c r="B129" s="162" t="s">
        <v>540</v>
      </c>
      <c r="C129" s="170" t="s">
        <v>1755</v>
      </c>
      <c r="D129" s="179" t="s">
        <v>1606</v>
      </c>
      <c r="E129" s="180" t="s">
        <v>708</v>
      </c>
      <c r="F129" s="181">
        <v>14</v>
      </c>
      <c r="G129" s="182">
        <v>15</v>
      </c>
      <c r="H129" s="167">
        <f t="shared" si="9"/>
        <v>210</v>
      </c>
      <c r="I129" s="173">
        <v>0.23</v>
      </c>
      <c r="J129" s="174">
        <f t="shared" si="10"/>
        <v>48.300000000000011</v>
      </c>
      <c r="K129" s="174">
        <f t="shared" si="11"/>
        <v>258.3</v>
      </c>
    </row>
    <row r="130" spans="2:11">
      <c r="B130" s="162" t="s">
        <v>543</v>
      </c>
      <c r="C130" s="163" t="s">
        <v>1756</v>
      </c>
      <c r="D130" s="164" t="s">
        <v>1606</v>
      </c>
      <c r="E130" s="164" t="s">
        <v>708</v>
      </c>
      <c r="F130" s="165">
        <v>10</v>
      </c>
      <c r="G130" s="166">
        <f t="shared" ref="G130:G133" si="15">ROUND(S130*1.15,2)</f>
        <v>0</v>
      </c>
      <c r="H130" s="167">
        <f t="shared" si="9"/>
        <v>0</v>
      </c>
      <c r="I130" s="173">
        <v>0.23</v>
      </c>
      <c r="J130" s="167">
        <f t="shared" si="10"/>
        <v>0</v>
      </c>
      <c r="K130" s="167">
        <f t="shared" si="11"/>
        <v>0</v>
      </c>
    </row>
    <row r="131" spans="2:11">
      <c r="B131" s="162" t="s">
        <v>549</v>
      </c>
      <c r="C131" s="163" t="s">
        <v>1757</v>
      </c>
      <c r="D131" s="164" t="s">
        <v>1606</v>
      </c>
      <c r="E131" s="164" t="s">
        <v>708</v>
      </c>
      <c r="F131" s="165">
        <v>2</v>
      </c>
      <c r="G131" s="166">
        <f>ROUND(S131*1.13,2)</f>
        <v>0</v>
      </c>
      <c r="H131" s="167">
        <f t="shared" si="9"/>
        <v>0</v>
      </c>
      <c r="I131" s="173">
        <v>0.23</v>
      </c>
      <c r="J131" s="167">
        <f t="shared" si="10"/>
        <v>0</v>
      </c>
      <c r="K131" s="167">
        <f t="shared" si="11"/>
        <v>0</v>
      </c>
    </row>
    <row r="132" spans="2:11">
      <c r="B132" s="175" t="s">
        <v>553</v>
      </c>
      <c r="C132" s="170" t="s">
        <v>1758</v>
      </c>
      <c r="D132" s="176" t="s">
        <v>1606</v>
      </c>
      <c r="E132" s="176" t="s">
        <v>708</v>
      </c>
      <c r="F132" s="177">
        <v>10</v>
      </c>
      <c r="G132" s="178">
        <f t="shared" si="15"/>
        <v>0</v>
      </c>
      <c r="H132" s="174">
        <f t="shared" si="9"/>
        <v>0</v>
      </c>
      <c r="I132" s="173">
        <v>0.23</v>
      </c>
      <c r="J132" s="174">
        <f t="shared" si="10"/>
        <v>0</v>
      </c>
      <c r="K132" s="174">
        <f t="shared" si="11"/>
        <v>0</v>
      </c>
    </row>
    <row r="133" spans="2:11">
      <c r="B133" s="175" t="s">
        <v>558</v>
      </c>
      <c r="C133" s="170" t="s">
        <v>1759</v>
      </c>
      <c r="D133" s="176" t="s">
        <v>1606</v>
      </c>
      <c r="E133" s="176" t="s">
        <v>1624</v>
      </c>
      <c r="F133" s="177">
        <v>10</v>
      </c>
      <c r="G133" s="178">
        <f t="shared" si="15"/>
        <v>0</v>
      </c>
      <c r="H133" s="174">
        <f t="shared" si="9"/>
        <v>0</v>
      </c>
      <c r="I133" s="173">
        <v>0.23</v>
      </c>
      <c r="J133" s="174">
        <f t="shared" si="10"/>
        <v>0</v>
      </c>
      <c r="K133" s="174">
        <f t="shared" si="11"/>
        <v>0</v>
      </c>
    </row>
    <row r="134" spans="2:11">
      <c r="B134" s="162" t="s">
        <v>561</v>
      </c>
      <c r="C134" s="192" t="s">
        <v>1760</v>
      </c>
      <c r="D134" s="164" t="s">
        <v>1606</v>
      </c>
      <c r="E134" s="171" t="s">
        <v>1624</v>
      </c>
      <c r="F134" s="172">
        <v>2</v>
      </c>
      <c r="G134" s="166">
        <f>ROUND(S134*1.12,2)</f>
        <v>0</v>
      </c>
      <c r="H134" s="167">
        <f t="shared" si="9"/>
        <v>0</v>
      </c>
      <c r="I134" s="173">
        <v>0.23</v>
      </c>
      <c r="J134" s="174">
        <f t="shared" si="10"/>
        <v>0</v>
      </c>
      <c r="K134" s="174">
        <f t="shared" si="11"/>
        <v>0</v>
      </c>
    </row>
    <row r="135" spans="2:11">
      <c r="B135" s="162" t="s">
        <v>566</v>
      </c>
      <c r="C135" s="170" t="s">
        <v>1761</v>
      </c>
      <c r="D135" s="164" t="s">
        <v>1606</v>
      </c>
      <c r="E135" s="171" t="s">
        <v>1624</v>
      </c>
      <c r="F135" s="172">
        <v>2</v>
      </c>
      <c r="G135" s="166">
        <f>ROUND(S135*1.12,2)</f>
        <v>0</v>
      </c>
      <c r="H135" s="167">
        <f t="shared" si="9"/>
        <v>0</v>
      </c>
      <c r="I135" s="173">
        <v>0.23</v>
      </c>
      <c r="J135" s="174">
        <f t="shared" si="10"/>
        <v>0</v>
      </c>
      <c r="K135" s="174">
        <f t="shared" si="11"/>
        <v>0</v>
      </c>
    </row>
    <row r="136" spans="2:11">
      <c r="B136" s="162" t="s">
        <v>570</v>
      </c>
      <c r="C136" s="170" t="s">
        <v>1762</v>
      </c>
      <c r="D136" s="164" t="s">
        <v>1606</v>
      </c>
      <c r="E136" s="171" t="s">
        <v>1624</v>
      </c>
      <c r="F136" s="172">
        <v>100</v>
      </c>
      <c r="G136" s="166">
        <f>ROUND(S136*1.25,2)</f>
        <v>0</v>
      </c>
      <c r="H136" s="167">
        <f t="shared" si="9"/>
        <v>0</v>
      </c>
      <c r="I136" s="173">
        <v>0.23</v>
      </c>
      <c r="J136" s="174">
        <f t="shared" si="10"/>
        <v>0</v>
      </c>
      <c r="K136" s="174">
        <f t="shared" si="11"/>
        <v>0</v>
      </c>
    </row>
    <row r="137" spans="2:11" ht="51">
      <c r="B137" s="162" t="s">
        <v>574</v>
      </c>
      <c r="C137" s="170" t="s">
        <v>1763</v>
      </c>
      <c r="D137" s="171" t="s">
        <v>1606</v>
      </c>
      <c r="E137" s="171" t="s">
        <v>1624</v>
      </c>
      <c r="F137" s="172">
        <v>2</v>
      </c>
      <c r="G137" s="166">
        <f>ROUND(S137*1.11,2)</f>
        <v>0</v>
      </c>
      <c r="H137" s="167">
        <f t="shared" si="9"/>
        <v>0</v>
      </c>
      <c r="I137" s="173">
        <v>0.23</v>
      </c>
      <c r="J137" s="174">
        <f t="shared" si="10"/>
        <v>0</v>
      </c>
      <c r="K137" s="174">
        <f t="shared" si="11"/>
        <v>0</v>
      </c>
    </row>
    <row r="138" spans="2:11">
      <c r="B138" s="162" t="s">
        <v>578</v>
      </c>
      <c r="C138" s="193" t="s">
        <v>1764</v>
      </c>
      <c r="D138" s="164" t="s">
        <v>1606</v>
      </c>
      <c r="E138" s="171" t="s">
        <v>1624</v>
      </c>
      <c r="F138" s="172">
        <v>2</v>
      </c>
      <c r="G138" s="166">
        <f>ROUND(S138*1.12,2)</f>
        <v>0</v>
      </c>
      <c r="H138" s="167">
        <f t="shared" si="9"/>
        <v>0</v>
      </c>
      <c r="I138" s="173">
        <v>0.23</v>
      </c>
      <c r="J138" s="167">
        <f t="shared" si="10"/>
        <v>0</v>
      </c>
      <c r="K138" s="167">
        <f t="shared" si="11"/>
        <v>0</v>
      </c>
    </row>
    <row r="139" spans="2:11">
      <c r="B139" s="162" t="s">
        <v>583</v>
      </c>
      <c r="C139" s="194" t="s">
        <v>1765</v>
      </c>
      <c r="D139" s="164" t="s">
        <v>1606</v>
      </c>
      <c r="E139" s="195" t="s">
        <v>1624</v>
      </c>
      <c r="F139" s="196">
        <v>2</v>
      </c>
      <c r="G139" s="166">
        <f>ROUND(S139*1.12,2)</f>
        <v>0</v>
      </c>
      <c r="H139" s="167">
        <f t="shared" si="9"/>
        <v>0</v>
      </c>
      <c r="I139" s="190">
        <v>0.23</v>
      </c>
      <c r="J139" s="197">
        <f t="shared" si="10"/>
        <v>0</v>
      </c>
      <c r="K139" s="197">
        <f t="shared" si="11"/>
        <v>0</v>
      </c>
    </row>
    <row r="140" spans="2:11">
      <c r="B140" s="162" t="s">
        <v>587</v>
      </c>
      <c r="C140" s="194" t="s">
        <v>1766</v>
      </c>
      <c r="D140" s="164" t="s">
        <v>1606</v>
      </c>
      <c r="E140" s="195" t="s">
        <v>1624</v>
      </c>
      <c r="F140" s="196">
        <v>10</v>
      </c>
      <c r="G140" s="166">
        <f t="shared" ref="G140:G153" si="16">ROUND(S140*1.15,2)</f>
        <v>0</v>
      </c>
      <c r="H140" s="167">
        <f t="shared" ref="H140:H203" si="17">G140*F140</f>
        <v>0</v>
      </c>
      <c r="I140" s="190">
        <v>0.23</v>
      </c>
      <c r="J140" s="197">
        <f t="shared" si="10"/>
        <v>0</v>
      </c>
      <c r="K140" s="197">
        <f t="shared" si="11"/>
        <v>0</v>
      </c>
    </row>
    <row r="141" spans="2:11">
      <c r="B141" s="162" t="s">
        <v>591</v>
      </c>
      <c r="C141" s="163" t="s">
        <v>1767</v>
      </c>
      <c r="D141" s="164" t="s">
        <v>1606</v>
      </c>
      <c r="E141" s="164" t="s">
        <v>1624</v>
      </c>
      <c r="F141" s="165">
        <v>5</v>
      </c>
      <c r="G141" s="166">
        <f t="shared" si="16"/>
        <v>0</v>
      </c>
      <c r="H141" s="167">
        <f t="shared" si="17"/>
        <v>0</v>
      </c>
      <c r="I141" s="173">
        <v>0.23</v>
      </c>
      <c r="J141" s="167">
        <f t="shared" si="10"/>
        <v>0</v>
      </c>
      <c r="K141" s="167">
        <f t="shared" si="11"/>
        <v>0</v>
      </c>
    </row>
    <row r="142" spans="2:11" ht="25.5">
      <c r="B142" s="162" t="s">
        <v>595</v>
      </c>
      <c r="C142" s="163" t="s">
        <v>1768</v>
      </c>
      <c r="D142" s="164" t="s">
        <v>1606</v>
      </c>
      <c r="E142" s="164" t="s">
        <v>1624</v>
      </c>
      <c r="F142" s="165">
        <v>50</v>
      </c>
      <c r="G142" s="166">
        <f t="shared" si="16"/>
        <v>0</v>
      </c>
      <c r="H142" s="167">
        <f t="shared" si="17"/>
        <v>0</v>
      </c>
      <c r="I142" s="173">
        <v>0.23</v>
      </c>
      <c r="J142" s="167">
        <f t="shared" si="10"/>
        <v>0</v>
      </c>
      <c r="K142" s="167">
        <f t="shared" si="11"/>
        <v>0</v>
      </c>
    </row>
    <row r="143" spans="2:11" ht="25.5">
      <c r="B143" s="162" t="s">
        <v>598</v>
      </c>
      <c r="C143" s="163" t="s">
        <v>1769</v>
      </c>
      <c r="D143" s="164" t="s">
        <v>1606</v>
      </c>
      <c r="E143" s="164" t="s">
        <v>1624</v>
      </c>
      <c r="F143" s="165">
        <v>50</v>
      </c>
      <c r="G143" s="166">
        <f t="shared" si="16"/>
        <v>0</v>
      </c>
      <c r="H143" s="167">
        <f t="shared" si="17"/>
        <v>0</v>
      </c>
      <c r="I143" s="173">
        <v>0.23</v>
      </c>
      <c r="J143" s="167">
        <f t="shared" si="10"/>
        <v>0</v>
      </c>
      <c r="K143" s="167">
        <f t="shared" si="11"/>
        <v>0</v>
      </c>
    </row>
    <row r="144" spans="2:11">
      <c r="B144" s="162" t="s">
        <v>601</v>
      </c>
      <c r="C144" s="163" t="s">
        <v>1770</v>
      </c>
      <c r="D144" s="164" t="s">
        <v>1606</v>
      </c>
      <c r="E144" s="164" t="s">
        <v>1624</v>
      </c>
      <c r="F144" s="165">
        <v>50</v>
      </c>
      <c r="G144" s="166">
        <f t="shared" si="16"/>
        <v>0</v>
      </c>
      <c r="H144" s="167">
        <f t="shared" si="17"/>
        <v>0</v>
      </c>
      <c r="I144" s="173">
        <v>0.23</v>
      </c>
      <c r="J144" s="167">
        <f t="shared" si="10"/>
        <v>0</v>
      </c>
      <c r="K144" s="167">
        <f t="shared" si="11"/>
        <v>0</v>
      </c>
    </row>
    <row r="145" spans="2:11">
      <c r="B145" s="162" t="s">
        <v>603</v>
      </c>
      <c r="C145" s="163" t="s">
        <v>1771</v>
      </c>
      <c r="D145" s="164" t="s">
        <v>1606</v>
      </c>
      <c r="E145" s="164" t="s">
        <v>1624</v>
      </c>
      <c r="F145" s="165">
        <v>50</v>
      </c>
      <c r="G145" s="166">
        <f t="shared" si="16"/>
        <v>0</v>
      </c>
      <c r="H145" s="167">
        <f t="shared" si="17"/>
        <v>0</v>
      </c>
      <c r="I145" s="173">
        <v>0.23</v>
      </c>
      <c r="J145" s="167">
        <f t="shared" si="10"/>
        <v>0</v>
      </c>
      <c r="K145" s="167">
        <f t="shared" si="11"/>
        <v>0</v>
      </c>
    </row>
    <row r="146" spans="2:11">
      <c r="B146" s="162" t="s">
        <v>607</v>
      </c>
      <c r="C146" s="163" t="s">
        <v>1772</v>
      </c>
      <c r="D146" s="164" t="s">
        <v>1606</v>
      </c>
      <c r="E146" s="164" t="s">
        <v>1624</v>
      </c>
      <c r="F146" s="165">
        <v>50</v>
      </c>
      <c r="G146" s="166">
        <f>ROUND(S146*1.135,2)</f>
        <v>0</v>
      </c>
      <c r="H146" s="167">
        <f t="shared" si="17"/>
        <v>0</v>
      </c>
      <c r="I146" s="173">
        <v>0.23</v>
      </c>
      <c r="J146" s="167">
        <f t="shared" si="10"/>
        <v>0</v>
      </c>
      <c r="K146" s="167">
        <f t="shared" si="11"/>
        <v>0</v>
      </c>
    </row>
    <row r="147" spans="2:11">
      <c r="B147" s="162" t="s">
        <v>611</v>
      </c>
      <c r="C147" s="163" t="s">
        <v>1773</v>
      </c>
      <c r="D147" s="164" t="s">
        <v>1606</v>
      </c>
      <c r="E147" s="164" t="s">
        <v>1624</v>
      </c>
      <c r="F147" s="165">
        <v>50</v>
      </c>
      <c r="G147" s="166">
        <f t="shared" ref="G147:G148" si="18">ROUND(S147*1.135,2)</f>
        <v>0</v>
      </c>
      <c r="H147" s="167">
        <f t="shared" si="17"/>
        <v>0</v>
      </c>
      <c r="I147" s="173">
        <v>0.23</v>
      </c>
      <c r="J147" s="167">
        <f t="shared" si="10"/>
        <v>0</v>
      </c>
      <c r="K147" s="167">
        <f t="shared" si="11"/>
        <v>0</v>
      </c>
    </row>
    <row r="148" spans="2:11">
      <c r="B148" s="162" t="s">
        <v>617</v>
      </c>
      <c r="C148" s="163" t="s">
        <v>1774</v>
      </c>
      <c r="D148" s="164" t="s">
        <v>1606</v>
      </c>
      <c r="E148" s="164" t="s">
        <v>1624</v>
      </c>
      <c r="F148" s="165">
        <v>50</v>
      </c>
      <c r="G148" s="166">
        <f t="shared" si="18"/>
        <v>0</v>
      </c>
      <c r="H148" s="167">
        <f t="shared" si="17"/>
        <v>0</v>
      </c>
      <c r="I148" s="173">
        <v>0.23</v>
      </c>
      <c r="J148" s="167">
        <f t="shared" si="10"/>
        <v>0</v>
      </c>
      <c r="K148" s="167">
        <f t="shared" si="11"/>
        <v>0</v>
      </c>
    </row>
    <row r="149" spans="2:11">
      <c r="B149" s="162" t="s">
        <v>620</v>
      </c>
      <c r="C149" s="163" t="s">
        <v>1775</v>
      </c>
      <c r="D149" s="164" t="s">
        <v>1606</v>
      </c>
      <c r="E149" s="164" t="s">
        <v>1624</v>
      </c>
      <c r="F149" s="165">
        <v>50</v>
      </c>
      <c r="G149" s="166">
        <f>ROUND(S149*1.135,2)</f>
        <v>0</v>
      </c>
      <c r="H149" s="167">
        <f t="shared" si="17"/>
        <v>0</v>
      </c>
      <c r="I149" s="173">
        <v>0.23</v>
      </c>
      <c r="J149" s="167">
        <f t="shared" si="10"/>
        <v>0</v>
      </c>
      <c r="K149" s="167">
        <f t="shared" si="11"/>
        <v>0</v>
      </c>
    </row>
    <row r="150" spans="2:11">
      <c r="B150" s="162" t="s">
        <v>625</v>
      </c>
      <c r="C150" s="163" t="s">
        <v>1776</v>
      </c>
      <c r="D150" s="164" t="s">
        <v>1606</v>
      </c>
      <c r="E150" s="164" t="s">
        <v>1624</v>
      </c>
      <c r="F150" s="165">
        <v>5</v>
      </c>
      <c r="G150" s="166">
        <f>ROUND(S150*1.12,2)</f>
        <v>0</v>
      </c>
      <c r="H150" s="167">
        <f t="shared" si="17"/>
        <v>0</v>
      </c>
      <c r="I150" s="173">
        <v>0.23</v>
      </c>
      <c r="J150" s="167">
        <f t="shared" si="10"/>
        <v>0</v>
      </c>
      <c r="K150" s="167">
        <f t="shared" si="11"/>
        <v>0</v>
      </c>
    </row>
    <row r="151" spans="2:11" ht="25.5">
      <c r="B151" s="162" t="s">
        <v>630</v>
      </c>
      <c r="C151" s="163" t="s">
        <v>1777</v>
      </c>
      <c r="D151" s="164" t="s">
        <v>1606</v>
      </c>
      <c r="E151" s="164" t="s">
        <v>1624</v>
      </c>
      <c r="F151" s="165">
        <v>3</v>
      </c>
      <c r="G151" s="166">
        <f t="shared" si="16"/>
        <v>0</v>
      </c>
      <c r="H151" s="167">
        <f t="shared" si="17"/>
        <v>0</v>
      </c>
      <c r="I151" s="173">
        <v>0.23</v>
      </c>
      <c r="J151" s="167">
        <f t="shared" si="10"/>
        <v>0</v>
      </c>
      <c r="K151" s="167">
        <f t="shared" si="11"/>
        <v>0</v>
      </c>
    </row>
    <row r="152" spans="2:11">
      <c r="B152" s="162" t="s">
        <v>634</v>
      </c>
      <c r="C152" s="163" t="s">
        <v>1778</v>
      </c>
      <c r="D152" s="164" t="s">
        <v>1619</v>
      </c>
      <c r="E152" s="164" t="s">
        <v>1637</v>
      </c>
      <c r="F152" s="165">
        <v>50</v>
      </c>
      <c r="G152" s="166">
        <f t="shared" si="16"/>
        <v>0</v>
      </c>
      <c r="H152" s="167">
        <f t="shared" si="17"/>
        <v>0</v>
      </c>
      <c r="I152" s="173">
        <v>0.23</v>
      </c>
      <c r="J152" s="167">
        <f t="shared" si="10"/>
        <v>0</v>
      </c>
      <c r="K152" s="167">
        <f t="shared" si="11"/>
        <v>0</v>
      </c>
    </row>
    <row r="153" spans="2:11">
      <c r="B153" s="162" t="s">
        <v>639</v>
      </c>
      <c r="C153" s="163" t="s">
        <v>1779</v>
      </c>
      <c r="D153" s="164" t="s">
        <v>1619</v>
      </c>
      <c r="E153" s="164" t="s">
        <v>1637</v>
      </c>
      <c r="F153" s="165">
        <v>50</v>
      </c>
      <c r="G153" s="166">
        <f t="shared" si="16"/>
        <v>0</v>
      </c>
      <c r="H153" s="167">
        <f t="shared" si="17"/>
        <v>0</v>
      </c>
      <c r="I153" s="173">
        <v>0.23</v>
      </c>
      <c r="J153" s="167">
        <f t="shared" si="10"/>
        <v>0</v>
      </c>
      <c r="K153" s="167">
        <f t="shared" si="11"/>
        <v>0</v>
      </c>
    </row>
    <row r="154" spans="2:11">
      <c r="B154" s="162" t="s">
        <v>642</v>
      </c>
      <c r="C154" s="163" t="s">
        <v>1780</v>
      </c>
      <c r="D154" s="164" t="s">
        <v>1627</v>
      </c>
      <c r="E154" s="164" t="s">
        <v>1617</v>
      </c>
      <c r="F154" s="165">
        <v>4</v>
      </c>
      <c r="G154" s="166">
        <f>ROUND(S154*1.1,2)</f>
        <v>0</v>
      </c>
      <c r="H154" s="167">
        <f t="shared" si="17"/>
        <v>0</v>
      </c>
      <c r="I154" s="173">
        <v>0.23</v>
      </c>
      <c r="J154" s="167">
        <f t="shared" si="10"/>
        <v>0</v>
      </c>
      <c r="K154" s="167">
        <f t="shared" si="11"/>
        <v>0</v>
      </c>
    </row>
    <row r="155" spans="2:11">
      <c r="B155" s="162" t="s">
        <v>645</v>
      </c>
      <c r="C155" s="163" t="s">
        <v>1781</v>
      </c>
      <c r="D155" s="188" t="s">
        <v>1619</v>
      </c>
      <c r="E155" s="188" t="s">
        <v>1637</v>
      </c>
      <c r="F155" s="189">
        <v>4</v>
      </c>
      <c r="G155" s="166">
        <f>ROUND(S155*1.06,2)</f>
        <v>0</v>
      </c>
      <c r="H155" s="167">
        <f t="shared" si="17"/>
        <v>0</v>
      </c>
      <c r="I155" s="173">
        <v>0.23</v>
      </c>
      <c r="J155" s="167">
        <f t="shared" si="10"/>
        <v>0</v>
      </c>
      <c r="K155" s="167">
        <f t="shared" si="11"/>
        <v>0</v>
      </c>
    </row>
    <row r="156" spans="2:11">
      <c r="B156" s="162" t="s">
        <v>648</v>
      </c>
      <c r="C156" s="163" t="s">
        <v>1782</v>
      </c>
      <c r="D156" s="164" t="s">
        <v>1627</v>
      </c>
      <c r="E156" s="164" t="s">
        <v>1617</v>
      </c>
      <c r="F156" s="165">
        <v>300</v>
      </c>
      <c r="G156" s="166">
        <f>ROUND(S156*1.25,2)</f>
        <v>0</v>
      </c>
      <c r="H156" s="167">
        <f t="shared" si="17"/>
        <v>0</v>
      </c>
      <c r="I156" s="173">
        <v>0.23</v>
      </c>
      <c r="J156" s="167">
        <f t="shared" si="10"/>
        <v>0</v>
      </c>
      <c r="K156" s="167">
        <f t="shared" si="11"/>
        <v>0</v>
      </c>
    </row>
    <row r="157" spans="2:11">
      <c r="B157" s="162" t="s">
        <v>651</v>
      </c>
      <c r="C157" s="163" t="s">
        <v>1783</v>
      </c>
      <c r="D157" s="164" t="s">
        <v>1627</v>
      </c>
      <c r="E157" s="164" t="s">
        <v>1617</v>
      </c>
      <c r="F157" s="165">
        <v>4</v>
      </c>
      <c r="G157" s="166">
        <f>ROUND(S157*1.1,2)</f>
        <v>0</v>
      </c>
      <c r="H157" s="167">
        <f t="shared" si="17"/>
        <v>0</v>
      </c>
      <c r="I157" s="173">
        <v>0.23</v>
      </c>
      <c r="J157" s="167">
        <f t="shared" si="10"/>
        <v>0</v>
      </c>
      <c r="K157" s="167">
        <f t="shared" si="11"/>
        <v>0</v>
      </c>
    </row>
    <row r="158" spans="2:11">
      <c r="B158" s="162" t="s">
        <v>656</v>
      </c>
      <c r="C158" s="170" t="s">
        <v>1784</v>
      </c>
      <c r="D158" s="171" t="s">
        <v>1627</v>
      </c>
      <c r="E158" s="171" t="s">
        <v>1617</v>
      </c>
      <c r="F158" s="172">
        <v>20</v>
      </c>
      <c r="G158" s="166">
        <f t="shared" ref="G158:G216" si="19">ROUND(S158*1.15,2)</f>
        <v>0</v>
      </c>
      <c r="H158" s="167">
        <f t="shared" si="17"/>
        <v>0</v>
      </c>
      <c r="I158" s="173">
        <v>0.23</v>
      </c>
      <c r="J158" s="167">
        <f t="shared" si="10"/>
        <v>0</v>
      </c>
      <c r="K158" s="167">
        <f t="shared" si="11"/>
        <v>0</v>
      </c>
    </row>
    <row r="159" spans="2:11">
      <c r="B159" s="162" t="s">
        <v>659</v>
      </c>
      <c r="C159" s="170" t="s">
        <v>1785</v>
      </c>
      <c r="D159" s="171" t="s">
        <v>1627</v>
      </c>
      <c r="E159" s="171" t="s">
        <v>1617</v>
      </c>
      <c r="F159" s="172">
        <v>20</v>
      </c>
      <c r="G159" s="166">
        <f t="shared" si="19"/>
        <v>0</v>
      </c>
      <c r="H159" s="167">
        <f t="shared" si="17"/>
        <v>0</v>
      </c>
      <c r="I159" s="173">
        <v>0.23</v>
      </c>
      <c r="J159" s="167">
        <f t="shared" si="10"/>
        <v>0</v>
      </c>
      <c r="K159" s="167">
        <f t="shared" si="11"/>
        <v>0</v>
      </c>
    </row>
    <row r="160" spans="2:11">
      <c r="B160" s="162" t="s">
        <v>663</v>
      </c>
      <c r="C160" s="170" t="s">
        <v>1786</v>
      </c>
      <c r="D160" s="171" t="s">
        <v>1627</v>
      </c>
      <c r="E160" s="171" t="s">
        <v>1617</v>
      </c>
      <c r="F160" s="172">
        <v>20</v>
      </c>
      <c r="G160" s="166">
        <f t="shared" si="19"/>
        <v>0</v>
      </c>
      <c r="H160" s="167">
        <f t="shared" si="17"/>
        <v>0</v>
      </c>
      <c r="I160" s="173">
        <v>0.23</v>
      </c>
      <c r="J160" s="167">
        <f t="shared" si="10"/>
        <v>0</v>
      </c>
      <c r="K160" s="167">
        <f t="shared" si="11"/>
        <v>0</v>
      </c>
    </row>
    <row r="161" spans="2:11">
      <c r="B161" s="162" t="s">
        <v>667</v>
      </c>
      <c r="C161" s="170" t="s">
        <v>1787</v>
      </c>
      <c r="D161" s="171" t="s">
        <v>1627</v>
      </c>
      <c r="E161" s="171" t="s">
        <v>1617</v>
      </c>
      <c r="F161" s="172">
        <v>20</v>
      </c>
      <c r="G161" s="166">
        <f t="shared" si="19"/>
        <v>0</v>
      </c>
      <c r="H161" s="167">
        <f t="shared" si="17"/>
        <v>0</v>
      </c>
      <c r="I161" s="173">
        <v>0.23</v>
      </c>
      <c r="J161" s="167">
        <f t="shared" ref="J161:J253" si="20">K161-H161</f>
        <v>0</v>
      </c>
      <c r="K161" s="167">
        <f t="shared" ref="K161:K253" si="21">H161+H161*I161</f>
        <v>0</v>
      </c>
    </row>
    <row r="162" spans="2:11">
      <c r="B162" s="162" t="s">
        <v>669</v>
      </c>
      <c r="C162" s="170" t="s">
        <v>1788</v>
      </c>
      <c r="D162" s="171" t="s">
        <v>1627</v>
      </c>
      <c r="E162" s="171" t="s">
        <v>1617</v>
      </c>
      <c r="F162" s="172">
        <v>20</v>
      </c>
      <c r="G162" s="166">
        <f t="shared" si="19"/>
        <v>0</v>
      </c>
      <c r="H162" s="167">
        <f t="shared" si="17"/>
        <v>0</v>
      </c>
      <c r="I162" s="173">
        <v>0.23</v>
      </c>
      <c r="J162" s="167">
        <f t="shared" si="20"/>
        <v>0</v>
      </c>
      <c r="K162" s="167">
        <f t="shared" si="21"/>
        <v>0</v>
      </c>
    </row>
    <row r="163" spans="2:11">
      <c r="B163" s="162" t="s">
        <v>673</v>
      </c>
      <c r="C163" s="170" t="s">
        <v>1789</v>
      </c>
      <c r="D163" s="171" t="s">
        <v>1627</v>
      </c>
      <c r="E163" s="171" t="s">
        <v>1617</v>
      </c>
      <c r="F163" s="172">
        <v>20</v>
      </c>
      <c r="G163" s="166">
        <f t="shared" si="19"/>
        <v>0</v>
      </c>
      <c r="H163" s="167">
        <f t="shared" si="17"/>
        <v>0</v>
      </c>
      <c r="I163" s="173">
        <v>0.23</v>
      </c>
      <c r="J163" s="167">
        <f t="shared" si="20"/>
        <v>0</v>
      </c>
      <c r="K163" s="167">
        <f t="shared" si="21"/>
        <v>0</v>
      </c>
    </row>
    <row r="164" spans="2:11">
      <c r="B164" s="162" t="s">
        <v>677</v>
      </c>
      <c r="C164" s="170" t="s">
        <v>1790</v>
      </c>
      <c r="D164" s="171" t="s">
        <v>1627</v>
      </c>
      <c r="E164" s="171" t="s">
        <v>1617</v>
      </c>
      <c r="F164" s="172">
        <v>20</v>
      </c>
      <c r="G164" s="166">
        <f t="shared" si="19"/>
        <v>0</v>
      </c>
      <c r="H164" s="167">
        <f t="shared" si="17"/>
        <v>0</v>
      </c>
      <c r="I164" s="173">
        <v>0.23</v>
      </c>
      <c r="J164" s="167">
        <f t="shared" si="20"/>
        <v>0</v>
      </c>
      <c r="K164" s="167">
        <f t="shared" si="21"/>
        <v>0</v>
      </c>
    </row>
    <row r="165" spans="2:11">
      <c r="B165" s="162" t="s">
        <v>681</v>
      </c>
      <c r="C165" s="170" t="s">
        <v>1791</v>
      </c>
      <c r="D165" s="171" t="s">
        <v>1627</v>
      </c>
      <c r="E165" s="171" t="s">
        <v>1617</v>
      </c>
      <c r="F165" s="172">
        <v>20</v>
      </c>
      <c r="G165" s="166">
        <f t="shared" si="19"/>
        <v>0</v>
      </c>
      <c r="H165" s="167">
        <f t="shared" si="17"/>
        <v>0</v>
      </c>
      <c r="I165" s="173">
        <v>0.23</v>
      </c>
      <c r="J165" s="167">
        <f t="shared" si="20"/>
        <v>0</v>
      </c>
      <c r="K165" s="167">
        <f t="shared" si="21"/>
        <v>0</v>
      </c>
    </row>
    <row r="166" spans="2:11">
      <c r="B166" s="162" t="s">
        <v>686</v>
      </c>
      <c r="C166" s="170" t="s">
        <v>1792</v>
      </c>
      <c r="D166" s="171" t="s">
        <v>1627</v>
      </c>
      <c r="E166" s="171" t="s">
        <v>1617</v>
      </c>
      <c r="F166" s="172">
        <v>20</v>
      </c>
      <c r="G166" s="166">
        <f t="shared" si="19"/>
        <v>0</v>
      </c>
      <c r="H166" s="167">
        <f t="shared" si="17"/>
        <v>0</v>
      </c>
      <c r="I166" s="173">
        <v>0.23</v>
      </c>
      <c r="J166" s="167">
        <f t="shared" si="20"/>
        <v>0</v>
      </c>
      <c r="K166" s="167">
        <f t="shared" si="21"/>
        <v>0</v>
      </c>
    </row>
    <row r="167" spans="2:11">
      <c r="B167" s="162" t="s">
        <v>690</v>
      </c>
      <c r="C167" s="170" t="s">
        <v>1793</v>
      </c>
      <c r="D167" s="171" t="s">
        <v>1627</v>
      </c>
      <c r="E167" s="171" t="s">
        <v>1617</v>
      </c>
      <c r="F167" s="172">
        <v>20</v>
      </c>
      <c r="G167" s="166">
        <f t="shared" si="19"/>
        <v>0</v>
      </c>
      <c r="H167" s="167">
        <f t="shared" si="17"/>
        <v>0</v>
      </c>
      <c r="I167" s="173">
        <v>0.23</v>
      </c>
      <c r="J167" s="167">
        <f t="shared" si="20"/>
        <v>0</v>
      </c>
      <c r="K167" s="167">
        <f t="shared" si="21"/>
        <v>0</v>
      </c>
    </row>
    <row r="168" spans="2:11">
      <c r="B168" s="162" t="s">
        <v>692</v>
      </c>
      <c r="C168" s="170" t="s">
        <v>1794</v>
      </c>
      <c r="D168" s="171" t="s">
        <v>1627</v>
      </c>
      <c r="E168" s="171" t="s">
        <v>1617</v>
      </c>
      <c r="F168" s="172">
        <v>20</v>
      </c>
      <c r="G168" s="166">
        <f t="shared" si="19"/>
        <v>0</v>
      </c>
      <c r="H168" s="167">
        <f t="shared" si="17"/>
        <v>0</v>
      </c>
      <c r="I168" s="173">
        <v>0.23</v>
      </c>
      <c r="J168" s="167">
        <f t="shared" si="20"/>
        <v>0</v>
      </c>
      <c r="K168" s="167">
        <f t="shared" si="21"/>
        <v>0</v>
      </c>
    </row>
    <row r="169" spans="2:11">
      <c r="B169" s="162" t="s">
        <v>695</v>
      </c>
      <c r="C169" s="170" t="s">
        <v>1795</v>
      </c>
      <c r="D169" s="171" t="s">
        <v>1627</v>
      </c>
      <c r="E169" s="171" t="s">
        <v>1617</v>
      </c>
      <c r="F169" s="172">
        <v>20</v>
      </c>
      <c r="G169" s="166">
        <f t="shared" si="19"/>
        <v>0</v>
      </c>
      <c r="H169" s="167">
        <f t="shared" si="17"/>
        <v>0</v>
      </c>
      <c r="I169" s="173">
        <v>0.23</v>
      </c>
      <c r="J169" s="167">
        <f t="shared" si="20"/>
        <v>0</v>
      </c>
      <c r="K169" s="167">
        <f t="shared" si="21"/>
        <v>0</v>
      </c>
    </row>
    <row r="170" spans="2:11">
      <c r="B170" s="162" t="s">
        <v>698</v>
      </c>
      <c r="C170" s="170" t="s">
        <v>1796</v>
      </c>
      <c r="D170" s="171" t="s">
        <v>1627</v>
      </c>
      <c r="E170" s="171" t="s">
        <v>1617</v>
      </c>
      <c r="F170" s="172">
        <v>20</v>
      </c>
      <c r="G170" s="166">
        <f t="shared" si="19"/>
        <v>0</v>
      </c>
      <c r="H170" s="167">
        <f t="shared" si="17"/>
        <v>0</v>
      </c>
      <c r="I170" s="173">
        <v>0.23</v>
      </c>
      <c r="J170" s="167">
        <f t="shared" si="20"/>
        <v>0</v>
      </c>
      <c r="K170" s="167">
        <f t="shared" si="21"/>
        <v>0</v>
      </c>
    </row>
    <row r="171" spans="2:11">
      <c r="B171" s="162" t="s">
        <v>702</v>
      </c>
      <c r="C171" s="170" t="s">
        <v>1797</v>
      </c>
      <c r="D171" s="171" t="s">
        <v>1627</v>
      </c>
      <c r="E171" s="171" t="s">
        <v>1617</v>
      </c>
      <c r="F171" s="172">
        <v>20</v>
      </c>
      <c r="G171" s="166">
        <f t="shared" si="19"/>
        <v>0</v>
      </c>
      <c r="H171" s="167">
        <f t="shared" si="17"/>
        <v>0</v>
      </c>
      <c r="I171" s="173">
        <v>0.23</v>
      </c>
      <c r="J171" s="167">
        <f t="shared" si="20"/>
        <v>0</v>
      </c>
      <c r="K171" s="167">
        <f t="shared" si="21"/>
        <v>0</v>
      </c>
    </row>
    <row r="172" spans="2:11">
      <c r="B172" s="162" t="s">
        <v>706</v>
      </c>
      <c r="C172" s="170" t="s">
        <v>1798</v>
      </c>
      <c r="D172" s="171" t="s">
        <v>1627</v>
      </c>
      <c r="E172" s="171" t="s">
        <v>1617</v>
      </c>
      <c r="F172" s="172">
        <v>20</v>
      </c>
      <c r="G172" s="166">
        <f t="shared" si="19"/>
        <v>0</v>
      </c>
      <c r="H172" s="167">
        <f t="shared" si="17"/>
        <v>0</v>
      </c>
      <c r="I172" s="173">
        <v>0.23</v>
      </c>
      <c r="J172" s="167">
        <f t="shared" si="20"/>
        <v>0</v>
      </c>
      <c r="K172" s="167">
        <f t="shared" si="21"/>
        <v>0</v>
      </c>
    </row>
    <row r="173" spans="2:11">
      <c r="B173" s="162" t="s">
        <v>713</v>
      </c>
      <c r="C173" s="170" t="s">
        <v>1799</v>
      </c>
      <c r="D173" s="171" t="s">
        <v>1627</v>
      </c>
      <c r="E173" s="171" t="s">
        <v>1617</v>
      </c>
      <c r="F173" s="172">
        <v>20</v>
      </c>
      <c r="G173" s="166">
        <f t="shared" si="19"/>
        <v>0</v>
      </c>
      <c r="H173" s="167">
        <f t="shared" si="17"/>
        <v>0</v>
      </c>
      <c r="I173" s="173">
        <v>0.23</v>
      </c>
      <c r="J173" s="167">
        <f t="shared" si="20"/>
        <v>0</v>
      </c>
      <c r="K173" s="167">
        <f t="shared" si="21"/>
        <v>0</v>
      </c>
    </row>
    <row r="174" spans="2:11">
      <c r="B174" s="162" t="s">
        <v>717</v>
      </c>
      <c r="C174" s="170" t="s">
        <v>1800</v>
      </c>
      <c r="D174" s="171" t="s">
        <v>1627</v>
      </c>
      <c r="E174" s="171" t="s">
        <v>1617</v>
      </c>
      <c r="F174" s="172">
        <v>20</v>
      </c>
      <c r="G174" s="166">
        <f t="shared" si="19"/>
        <v>0</v>
      </c>
      <c r="H174" s="167">
        <f t="shared" si="17"/>
        <v>0</v>
      </c>
      <c r="I174" s="173">
        <v>0.23</v>
      </c>
      <c r="J174" s="167">
        <f t="shared" si="20"/>
        <v>0</v>
      </c>
      <c r="K174" s="167">
        <f t="shared" si="21"/>
        <v>0</v>
      </c>
    </row>
    <row r="175" spans="2:11">
      <c r="B175" s="162" t="s">
        <v>721</v>
      </c>
      <c r="C175" s="170" t="s">
        <v>1801</v>
      </c>
      <c r="D175" s="171" t="s">
        <v>1627</v>
      </c>
      <c r="E175" s="171" t="s">
        <v>1617</v>
      </c>
      <c r="F175" s="172">
        <v>20</v>
      </c>
      <c r="G175" s="166">
        <f t="shared" si="19"/>
        <v>0</v>
      </c>
      <c r="H175" s="167">
        <f t="shared" si="17"/>
        <v>0</v>
      </c>
      <c r="I175" s="173">
        <v>0.23</v>
      </c>
      <c r="J175" s="167">
        <f t="shared" si="20"/>
        <v>0</v>
      </c>
      <c r="K175" s="167">
        <f t="shared" si="21"/>
        <v>0</v>
      </c>
    </row>
    <row r="176" spans="2:11" ht="25.5">
      <c r="B176" s="162" t="s">
        <v>724</v>
      </c>
      <c r="C176" s="170" t="s">
        <v>1802</v>
      </c>
      <c r="D176" s="171" t="s">
        <v>1627</v>
      </c>
      <c r="E176" s="171" t="s">
        <v>1617</v>
      </c>
      <c r="F176" s="172">
        <v>10</v>
      </c>
      <c r="G176" s="166">
        <f t="shared" si="19"/>
        <v>0</v>
      </c>
      <c r="H176" s="167">
        <f t="shared" si="17"/>
        <v>0</v>
      </c>
      <c r="I176" s="173">
        <v>0.23</v>
      </c>
      <c r="J176" s="174">
        <f t="shared" si="20"/>
        <v>0</v>
      </c>
      <c r="K176" s="174">
        <f t="shared" si="21"/>
        <v>0</v>
      </c>
    </row>
    <row r="177" spans="2:11">
      <c r="B177" s="162" t="s">
        <v>727</v>
      </c>
      <c r="C177" s="170" t="s">
        <v>1803</v>
      </c>
      <c r="D177" s="171" t="s">
        <v>1627</v>
      </c>
      <c r="E177" s="171" t="s">
        <v>1617</v>
      </c>
      <c r="F177" s="172">
        <v>20</v>
      </c>
      <c r="G177" s="166">
        <f t="shared" si="19"/>
        <v>0</v>
      </c>
      <c r="H177" s="167">
        <f t="shared" si="17"/>
        <v>0</v>
      </c>
      <c r="I177" s="173">
        <v>0.23</v>
      </c>
      <c r="J177" s="174">
        <f t="shared" si="20"/>
        <v>0</v>
      </c>
      <c r="K177" s="174">
        <f t="shared" si="21"/>
        <v>0</v>
      </c>
    </row>
    <row r="178" spans="2:11">
      <c r="B178" s="162" t="s">
        <v>731</v>
      </c>
      <c r="C178" s="170" t="s">
        <v>1804</v>
      </c>
      <c r="D178" s="171" t="s">
        <v>1627</v>
      </c>
      <c r="E178" s="171" t="s">
        <v>1617</v>
      </c>
      <c r="F178" s="172">
        <v>20</v>
      </c>
      <c r="G178" s="166">
        <f t="shared" si="19"/>
        <v>0</v>
      </c>
      <c r="H178" s="167">
        <f t="shared" si="17"/>
        <v>0</v>
      </c>
      <c r="I178" s="173">
        <v>0.23</v>
      </c>
      <c r="J178" s="174">
        <f t="shared" si="20"/>
        <v>0</v>
      </c>
      <c r="K178" s="174">
        <f t="shared" si="21"/>
        <v>0</v>
      </c>
    </row>
    <row r="179" spans="2:11">
      <c r="B179" s="162" t="s">
        <v>734</v>
      </c>
      <c r="C179" s="170" t="s">
        <v>1805</v>
      </c>
      <c r="D179" s="171" t="s">
        <v>1627</v>
      </c>
      <c r="E179" s="171" t="s">
        <v>1617</v>
      </c>
      <c r="F179" s="172">
        <v>20</v>
      </c>
      <c r="G179" s="166">
        <f t="shared" si="19"/>
        <v>0</v>
      </c>
      <c r="H179" s="167">
        <f t="shared" si="17"/>
        <v>0</v>
      </c>
      <c r="I179" s="173">
        <v>0.23</v>
      </c>
      <c r="J179" s="174">
        <f t="shared" si="20"/>
        <v>0</v>
      </c>
      <c r="K179" s="174">
        <f t="shared" si="21"/>
        <v>0</v>
      </c>
    </row>
    <row r="180" spans="2:11">
      <c r="B180" s="162" t="s">
        <v>736</v>
      </c>
      <c r="C180" s="170" t="s">
        <v>1806</v>
      </c>
      <c r="D180" s="171" t="s">
        <v>1627</v>
      </c>
      <c r="E180" s="171" t="s">
        <v>1617</v>
      </c>
      <c r="F180" s="172">
        <v>20</v>
      </c>
      <c r="G180" s="166">
        <f t="shared" si="19"/>
        <v>0</v>
      </c>
      <c r="H180" s="167">
        <f t="shared" si="17"/>
        <v>0</v>
      </c>
      <c r="I180" s="173">
        <v>0.23</v>
      </c>
      <c r="J180" s="174">
        <f t="shared" si="20"/>
        <v>0</v>
      </c>
      <c r="K180" s="174">
        <f t="shared" si="21"/>
        <v>0</v>
      </c>
    </row>
    <row r="181" spans="2:11">
      <c r="B181" s="162" t="s">
        <v>741</v>
      </c>
      <c r="C181" s="170" t="s">
        <v>1807</v>
      </c>
      <c r="D181" s="171" t="s">
        <v>1627</v>
      </c>
      <c r="E181" s="171" t="s">
        <v>1617</v>
      </c>
      <c r="F181" s="172">
        <v>20</v>
      </c>
      <c r="G181" s="166">
        <f t="shared" si="19"/>
        <v>0</v>
      </c>
      <c r="H181" s="167">
        <f t="shared" si="17"/>
        <v>0</v>
      </c>
      <c r="I181" s="173">
        <v>0.23</v>
      </c>
      <c r="J181" s="174">
        <f t="shared" si="20"/>
        <v>0</v>
      </c>
      <c r="K181" s="174">
        <f t="shared" si="21"/>
        <v>0</v>
      </c>
    </row>
    <row r="182" spans="2:11">
      <c r="B182" s="162" t="s">
        <v>745</v>
      </c>
      <c r="C182" s="170" t="s">
        <v>1808</v>
      </c>
      <c r="D182" s="171" t="s">
        <v>1627</v>
      </c>
      <c r="E182" s="171" t="s">
        <v>1617</v>
      </c>
      <c r="F182" s="172">
        <v>20</v>
      </c>
      <c r="G182" s="166">
        <f t="shared" si="19"/>
        <v>0</v>
      </c>
      <c r="H182" s="167">
        <f t="shared" si="17"/>
        <v>0</v>
      </c>
      <c r="I182" s="173">
        <v>0.23</v>
      </c>
      <c r="J182" s="174">
        <f t="shared" si="20"/>
        <v>0</v>
      </c>
      <c r="K182" s="174">
        <f t="shared" si="21"/>
        <v>0</v>
      </c>
    </row>
    <row r="183" spans="2:11">
      <c r="B183" s="162" t="s">
        <v>748</v>
      </c>
      <c r="C183" s="170" t="s">
        <v>1809</v>
      </c>
      <c r="D183" s="171" t="s">
        <v>1627</v>
      </c>
      <c r="E183" s="171" t="s">
        <v>1617</v>
      </c>
      <c r="F183" s="172">
        <v>20</v>
      </c>
      <c r="G183" s="166">
        <f t="shared" si="19"/>
        <v>0</v>
      </c>
      <c r="H183" s="167">
        <f t="shared" si="17"/>
        <v>0</v>
      </c>
      <c r="I183" s="173">
        <v>0.23</v>
      </c>
      <c r="J183" s="174">
        <f t="shared" si="20"/>
        <v>0</v>
      </c>
      <c r="K183" s="174">
        <f t="shared" si="21"/>
        <v>0</v>
      </c>
    </row>
    <row r="184" spans="2:11">
      <c r="B184" s="162" t="s">
        <v>752</v>
      </c>
      <c r="C184" s="170" t="s">
        <v>1810</v>
      </c>
      <c r="D184" s="171" t="s">
        <v>1627</v>
      </c>
      <c r="E184" s="171" t="s">
        <v>1617</v>
      </c>
      <c r="F184" s="172">
        <v>20</v>
      </c>
      <c r="G184" s="166">
        <f t="shared" si="19"/>
        <v>0</v>
      </c>
      <c r="H184" s="167">
        <f t="shared" si="17"/>
        <v>0</v>
      </c>
      <c r="I184" s="173">
        <v>0.23</v>
      </c>
      <c r="J184" s="174">
        <f t="shared" si="20"/>
        <v>0</v>
      </c>
      <c r="K184" s="174">
        <f t="shared" si="21"/>
        <v>0</v>
      </c>
    </row>
    <row r="185" spans="2:11">
      <c r="B185" s="162" t="s">
        <v>756</v>
      </c>
      <c r="C185" s="170" t="s">
        <v>1811</v>
      </c>
      <c r="D185" s="171" t="s">
        <v>1627</v>
      </c>
      <c r="E185" s="171" t="s">
        <v>1617</v>
      </c>
      <c r="F185" s="172">
        <v>20</v>
      </c>
      <c r="G185" s="166">
        <f t="shared" si="19"/>
        <v>0</v>
      </c>
      <c r="H185" s="167">
        <f t="shared" si="17"/>
        <v>0</v>
      </c>
      <c r="I185" s="173">
        <v>0.23</v>
      </c>
      <c r="J185" s="174">
        <f t="shared" si="20"/>
        <v>0</v>
      </c>
      <c r="K185" s="174">
        <f t="shared" si="21"/>
        <v>0</v>
      </c>
    </row>
    <row r="186" spans="2:11">
      <c r="B186" s="162" t="s">
        <v>760</v>
      </c>
      <c r="C186" s="170" t="s">
        <v>1812</v>
      </c>
      <c r="D186" s="171" t="s">
        <v>1627</v>
      </c>
      <c r="E186" s="171" t="s">
        <v>1617</v>
      </c>
      <c r="F186" s="172">
        <v>20</v>
      </c>
      <c r="G186" s="166">
        <f t="shared" si="19"/>
        <v>0</v>
      </c>
      <c r="H186" s="167">
        <f t="shared" si="17"/>
        <v>0</v>
      </c>
      <c r="I186" s="173">
        <v>0.23</v>
      </c>
      <c r="J186" s="174">
        <f t="shared" si="20"/>
        <v>0</v>
      </c>
      <c r="K186" s="174">
        <f t="shared" si="21"/>
        <v>0</v>
      </c>
    </row>
    <row r="187" spans="2:11">
      <c r="B187" s="162" t="s">
        <v>766</v>
      </c>
      <c r="C187" s="170" t="s">
        <v>1813</v>
      </c>
      <c r="D187" s="171" t="s">
        <v>1627</v>
      </c>
      <c r="E187" s="171" t="s">
        <v>1617</v>
      </c>
      <c r="F187" s="172">
        <v>20</v>
      </c>
      <c r="G187" s="166">
        <f t="shared" si="19"/>
        <v>0</v>
      </c>
      <c r="H187" s="167">
        <f t="shared" si="17"/>
        <v>0</v>
      </c>
      <c r="I187" s="173">
        <v>0.23</v>
      </c>
      <c r="J187" s="174">
        <f t="shared" si="20"/>
        <v>0</v>
      </c>
      <c r="K187" s="174">
        <f t="shared" si="21"/>
        <v>0</v>
      </c>
    </row>
    <row r="188" spans="2:11">
      <c r="B188" s="162" t="s">
        <v>769</v>
      </c>
      <c r="C188" s="170" t="s">
        <v>1814</v>
      </c>
      <c r="D188" s="171" t="s">
        <v>1627</v>
      </c>
      <c r="E188" s="171" t="s">
        <v>1617</v>
      </c>
      <c r="F188" s="172">
        <v>20</v>
      </c>
      <c r="G188" s="166">
        <f t="shared" si="19"/>
        <v>0</v>
      </c>
      <c r="H188" s="167">
        <f t="shared" si="17"/>
        <v>0</v>
      </c>
      <c r="I188" s="173">
        <v>0.23</v>
      </c>
      <c r="J188" s="174">
        <f t="shared" si="20"/>
        <v>0</v>
      </c>
      <c r="K188" s="174">
        <f t="shared" si="21"/>
        <v>0</v>
      </c>
    </row>
    <row r="189" spans="2:11">
      <c r="B189" s="162" t="s">
        <v>772</v>
      </c>
      <c r="C189" s="170" t="s">
        <v>1815</v>
      </c>
      <c r="D189" s="171" t="s">
        <v>1627</v>
      </c>
      <c r="E189" s="171" t="s">
        <v>1617</v>
      </c>
      <c r="F189" s="172">
        <v>20</v>
      </c>
      <c r="G189" s="166">
        <f t="shared" si="19"/>
        <v>0</v>
      </c>
      <c r="H189" s="167">
        <f t="shared" si="17"/>
        <v>0</v>
      </c>
      <c r="I189" s="173">
        <v>0.23</v>
      </c>
      <c r="J189" s="174">
        <f t="shared" si="20"/>
        <v>0</v>
      </c>
      <c r="K189" s="174">
        <f t="shared" si="21"/>
        <v>0</v>
      </c>
    </row>
    <row r="190" spans="2:11">
      <c r="B190" s="162" t="s">
        <v>775</v>
      </c>
      <c r="C190" s="170" t="s">
        <v>1816</v>
      </c>
      <c r="D190" s="171" t="s">
        <v>1627</v>
      </c>
      <c r="E190" s="171" t="s">
        <v>1617</v>
      </c>
      <c r="F190" s="172">
        <v>20</v>
      </c>
      <c r="G190" s="166">
        <f t="shared" si="19"/>
        <v>0</v>
      </c>
      <c r="H190" s="167">
        <f t="shared" si="17"/>
        <v>0</v>
      </c>
      <c r="I190" s="173">
        <v>0.23</v>
      </c>
      <c r="J190" s="174">
        <f t="shared" si="20"/>
        <v>0</v>
      </c>
      <c r="K190" s="174">
        <f t="shared" si="21"/>
        <v>0</v>
      </c>
    </row>
    <row r="191" spans="2:11">
      <c r="B191" s="162" t="s">
        <v>778</v>
      </c>
      <c r="C191" s="170" t="s">
        <v>1817</v>
      </c>
      <c r="D191" s="171" t="s">
        <v>1627</v>
      </c>
      <c r="E191" s="171" t="s">
        <v>1617</v>
      </c>
      <c r="F191" s="172">
        <v>20</v>
      </c>
      <c r="G191" s="166">
        <f t="shared" si="19"/>
        <v>0</v>
      </c>
      <c r="H191" s="167">
        <f t="shared" si="17"/>
        <v>0</v>
      </c>
      <c r="I191" s="173">
        <v>0.23</v>
      </c>
      <c r="J191" s="174">
        <f t="shared" si="20"/>
        <v>0</v>
      </c>
      <c r="K191" s="174">
        <f t="shared" si="21"/>
        <v>0</v>
      </c>
    </row>
    <row r="192" spans="2:11">
      <c r="B192" s="162" t="s">
        <v>782</v>
      </c>
      <c r="C192" s="170" t="s">
        <v>1818</v>
      </c>
      <c r="D192" s="171" t="s">
        <v>1627</v>
      </c>
      <c r="E192" s="171" t="s">
        <v>1617</v>
      </c>
      <c r="F192" s="172">
        <v>20</v>
      </c>
      <c r="G192" s="166">
        <f t="shared" si="19"/>
        <v>0</v>
      </c>
      <c r="H192" s="167">
        <f t="shared" si="17"/>
        <v>0</v>
      </c>
      <c r="I192" s="173">
        <v>0.23</v>
      </c>
      <c r="J192" s="174">
        <f t="shared" si="20"/>
        <v>0</v>
      </c>
      <c r="K192" s="174">
        <f t="shared" si="21"/>
        <v>0</v>
      </c>
    </row>
    <row r="193" spans="2:11">
      <c r="B193" s="162" t="s">
        <v>785</v>
      </c>
      <c r="C193" s="170" t="s">
        <v>1819</v>
      </c>
      <c r="D193" s="171" t="s">
        <v>1627</v>
      </c>
      <c r="E193" s="171" t="s">
        <v>1617</v>
      </c>
      <c r="F193" s="172">
        <v>20</v>
      </c>
      <c r="G193" s="166">
        <f t="shared" si="19"/>
        <v>0</v>
      </c>
      <c r="H193" s="167">
        <f t="shared" si="17"/>
        <v>0</v>
      </c>
      <c r="I193" s="173">
        <v>0.23</v>
      </c>
      <c r="J193" s="174">
        <f t="shared" si="20"/>
        <v>0</v>
      </c>
      <c r="K193" s="174">
        <f t="shared" si="21"/>
        <v>0</v>
      </c>
    </row>
    <row r="194" spans="2:11">
      <c r="B194" s="162" t="s">
        <v>788</v>
      </c>
      <c r="C194" s="170" t="s">
        <v>1820</v>
      </c>
      <c r="D194" s="171" t="s">
        <v>1627</v>
      </c>
      <c r="E194" s="171" t="s">
        <v>1617</v>
      </c>
      <c r="F194" s="172">
        <v>20</v>
      </c>
      <c r="G194" s="166">
        <f t="shared" si="19"/>
        <v>0</v>
      </c>
      <c r="H194" s="167">
        <f t="shared" si="17"/>
        <v>0</v>
      </c>
      <c r="I194" s="173">
        <v>0.23</v>
      </c>
      <c r="J194" s="174">
        <f t="shared" si="20"/>
        <v>0</v>
      </c>
      <c r="K194" s="174">
        <f t="shared" si="21"/>
        <v>0</v>
      </c>
    </row>
    <row r="195" spans="2:11">
      <c r="B195" s="162" t="s">
        <v>791</v>
      </c>
      <c r="C195" s="170" t="s">
        <v>1821</v>
      </c>
      <c r="D195" s="171" t="s">
        <v>1627</v>
      </c>
      <c r="E195" s="171" t="s">
        <v>1617</v>
      </c>
      <c r="F195" s="172">
        <v>20</v>
      </c>
      <c r="G195" s="166">
        <f t="shared" si="19"/>
        <v>0</v>
      </c>
      <c r="H195" s="167">
        <f t="shared" si="17"/>
        <v>0</v>
      </c>
      <c r="I195" s="173">
        <v>0.23</v>
      </c>
      <c r="J195" s="174">
        <f t="shared" si="20"/>
        <v>0</v>
      </c>
      <c r="K195" s="174">
        <f t="shared" si="21"/>
        <v>0</v>
      </c>
    </row>
    <row r="196" spans="2:11" ht="25.5">
      <c r="B196" s="162" t="s">
        <v>795</v>
      </c>
      <c r="C196" s="163" t="s">
        <v>1822</v>
      </c>
      <c r="D196" s="164" t="s">
        <v>1619</v>
      </c>
      <c r="E196" s="164" t="s">
        <v>1617</v>
      </c>
      <c r="F196" s="165">
        <v>20</v>
      </c>
      <c r="G196" s="166">
        <f t="shared" si="19"/>
        <v>0</v>
      </c>
      <c r="H196" s="167">
        <f t="shared" si="17"/>
        <v>0</v>
      </c>
      <c r="I196" s="173">
        <v>0.23</v>
      </c>
      <c r="J196" s="167">
        <f t="shared" si="20"/>
        <v>0</v>
      </c>
      <c r="K196" s="167">
        <f t="shared" si="21"/>
        <v>0</v>
      </c>
    </row>
    <row r="197" spans="2:11">
      <c r="B197" s="162" t="s">
        <v>799</v>
      </c>
      <c r="C197" s="163" t="s">
        <v>1823</v>
      </c>
      <c r="D197" s="164" t="s">
        <v>1619</v>
      </c>
      <c r="E197" s="164" t="s">
        <v>1617</v>
      </c>
      <c r="F197" s="165">
        <v>20</v>
      </c>
      <c r="G197" s="166">
        <f t="shared" si="19"/>
        <v>0</v>
      </c>
      <c r="H197" s="167">
        <f t="shared" si="17"/>
        <v>0</v>
      </c>
      <c r="I197" s="173">
        <v>0.23</v>
      </c>
      <c r="J197" s="167">
        <f t="shared" si="20"/>
        <v>0</v>
      </c>
      <c r="K197" s="167">
        <f t="shared" si="21"/>
        <v>0</v>
      </c>
    </row>
    <row r="198" spans="2:11" ht="25.5">
      <c r="B198" s="162" t="s">
        <v>803</v>
      </c>
      <c r="C198" s="163" t="s">
        <v>1824</v>
      </c>
      <c r="D198" s="164" t="s">
        <v>1619</v>
      </c>
      <c r="E198" s="164" t="s">
        <v>1617</v>
      </c>
      <c r="F198" s="165">
        <v>20</v>
      </c>
      <c r="G198" s="166">
        <f t="shared" si="19"/>
        <v>0</v>
      </c>
      <c r="H198" s="167">
        <f t="shared" si="17"/>
        <v>0</v>
      </c>
      <c r="I198" s="173">
        <v>0.23</v>
      </c>
      <c r="J198" s="167">
        <f t="shared" si="20"/>
        <v>0</v>
      </c>
      <c r="K198" s="167">
        <f t="shared" si="21"/>
        <v>0</v>
      </c>
    </row>
    <row r="199" spans="2:11" ht="25.5">
      <c r="B199" s="162" t="s">
        <v>806</v>
      </c>
      <c r="C199" s="170" t="s">
        <v>1825</v>
      </c>
      <c r="D199" s="171" t="s">
        <v>1826</v>
      </c>
      <c r="E199" s="171" t="s">
        <v>1617</v>
      </c>
      <c r="F199" s="172">
        <v>5</v>
      </c>
      <c r="G199" s="166">
        <f t="shared" si="19"/>
        <v>0</v>
      </c>
      <c r="H199" s="167">
        <f t="shared" si="17"/>
        <v>0</v>
      </c>
      <c r="I199" s="173">
        <v>0.23</v>
      </c>
      <c r="J199" s="174">
        <f t="shared" si="20"/>
        <v>0</v>
      </c>
      <c r="K199" s="174">
        <f t="shared" si="21"/>
        <v>0</v>
      </c>
    </row>
    <row r="200" spans="2:11" ht="25.5">
      <c r="B200" s="175" t="s">
        <v>810</v>
      </c>
      <c r="C200" s="170" t="s">
        <v>1827</v>
      </c>
      <c r="D200" s="176" t="s">
        <v>1656</v>
      </c>
      <c r="E200" s="176" t="s">
        <v>1617</v>
      </c>
      <c r="F200" s="177">
        <v>3</v>
      </c>
      <c r="G200" s="178">
        <f>ROUND(S200*1.05,2)</f>
        <v>0</v>
      </c>
      <c r="H200" s="174">
        <f t="shared" si="17"/>
        <v>0</v>
      </c>
      <c r="I200" s="173">
        <v>0.23</v>
      </c>
      <c r="J200" s="174">
        <f t="shared" si="20"/>
        <v>0</v>
      </c>
      <c r="K200" s="174">
        <f t="shared" si="21"/>
        <v>0</v>
      </c>
    </row>
    <row r="201" spans="2:11" ht="38.25">
      <c r="B201" s="175" t="s">
        <v>814</v>
      </c>
      <c r="C201" s="170" t="s">
        <v>1828</v>
      </c>
      <c r="D201" s="171" t="s">
        <v>1619</v>
      </c>
      <c r="E201" s="171" t="s">
        <v>1617</v>
      </c>
      <c r="F201" s="172">
        <v>3</v>
      </c>
      <c r="G201" s="166">
        <f>ROUND(S201*1.09,2)</f>
        <v>0</v>
      </c>
      <c r="H201" s="174">
        <f t="shared" si="17"/>
        <v>0</v>
      </c>
      <c r="I201" s="173">
        <v>0.23</v>
      </c>
      <c r="J201" s="174">
        <f t="shared" si="20"/>
        <v>0</v>
      </c>
      <c r="K201" s="174">
        <f t="shared" si="21"/>
        <v>0</v>
      </c>
    </row>
    <row r="202" spans="2:11">
      <c r="B202" s="162" t="s">
        <v>819</v>
      </c>
      <c r="C202" s="163" t="s">
        <v>1829</v>
      </c>
      <c r="D202" s="164" t="s">
        <v>1619</v>
      </c>
      <c r="E202" s="164" t="s">
        <v>1617</v>
      </c>
      <c r="F202" s="165">
        <v>30</v>
      </c>
      <c r="G202" s="166">
        <f t="shared" si="19"/>
        <v>0</v>
      </c>
      <c r="H202" s="167">
        <f t="shared" si="17"/>
        <v>0</v>
      </c>
      <c r="I202" s="173">
        <v>0.23</v>
      </c>
      <c r="J202" s="167">
        <f t="shared" si="20"/>
        <v>0</v>
      </c>
      <c r="K202" s="167">
        <f t="shared" si="21"/>
        <v>0</v>
      </c>
    </row>
    <row r="203" spans="2:11">
      <c r="B203" s="162" t="s">
        <v>824</v>
      </c>
      <c r="C203" s="170" t="s">
        <v>1830</v>
      </c>
      <c r="D203" s="171" t="s">
        <v>1619</v>
      </c>
      <c r="E203" s="171" t="s">
        <v>1617</v>
      </c>
      <c r="F203" s="172">
        <v>20</v>
      </c>
      <c r="G203" s="166">
        <f t="shared" si="19"/>
        <v>0</v>
      </c>
      <c r="H203" s="167">
        <f t="shared" si="17"/>
        <v>0</v>
      </c>
      <c r="I203" s="173">
        <v>0.23</v>
      </c>
      <c r="J203" s="174">
        <f t="shared" si="20"/>
        <v>0</v>
      </c>
      <c r="K203" s="174">
        <f t="shared" si="21"/>
        <v>0</v>
      </c>
    </row>
    <row r="204" spans="2:11" ht="25.5">
      <c r="B204" s="175" t="s">
        <v>827</v>
      </c>
      <c r="C204" s="170" t="s">
        <v>1831</v>
      </c>
      <c r="D204" s="179" t="s">
        <v>1619</v>
      </c>
      <c r="E204" s="179" t="s">
        <v>1617</v>
      </c>
      <c r="F204" s="162">
        <v>2</v>
      </c>
      <c r="G204" s="182">
        <f>ROUND(S204*1.07,2)</f>
        <v>0</v>
      </c>
      <c r="H204" s="174">
        <f t="shared" ref="H204:H267" si="22">G204*F204</f>
        <v>0</v>
      </c>
      <c r="I204" s="173">
        <v>0.23</v>
      </c>
      <c r="J204" s="174">
        <f t="shared" si="20"/>
        <v>0</v>
      </c>
      <c r="K204" s="174">
        <f t="shared" si="21"/>
        <v>0</v>
      </c>
    </row>
    <row r="205" spans="2:11" ht="25.5">
      <c r="B205" s="175" t="s">
        <v>831</v>
      </c>
      <c r="C205" s="170" t="s">
        <v>1832</v>
      </c>
      <c r="D205" s="179" t="s">
        <v>1619</v>
      </c>
      <c r="E205" s="179" t="s">
        <v>1617</v>
      </c>
      <c r="F205" s="162">
        <v>1</v>
      </c>
      <c r="G205" s="182">
        <f>ROUND(S205*0.9,2)</f>
        <v>0</v>
      </c>
      <c r="H205" s="174">
        <f t="shared" si="22"/>
        <v>0</v>
      </c>
      <c r="I205" s="173">
        <v>0.23</v>
      </c>
      <c r="J205" s="174">
        <f t="shared" si="20"/>
        <v>0</v>
      </c>
      <c r="K205" s="174">
        <f t="shared" si="21"/>
        <v>0</v>
      </c>
    </row>
    <row r="206" spans="2:11" ht="25.5">
      <c r="B206" s="175" t="s">
        <v>834</v>
      </c>
      <c r="C206" s="170" t="s">
        <v>1833</v>
      </c>
      <c r="D206" s="179" t="s">
        <v>1656</v>
      </c>
      <c r="E206" s="179" t="s">
        <v>1617</v>
      </c>
      <c r="F206" s="162">
        <v>1</v>
      </c>
      <c r="G206" s="182">
        <v>597</v>
      </c>
      <c r="H206" s="174">
        <f t="shared" si="22"/>
        <v>597</v>
      </c>
      <c r="I206" s="173">
        <v>0.23</v>
      </c>
      <c r="J206" s="174">
        <f t="shared" si="20"/>
        <v>137.30999999999995</v>
      </c>
      <c r="K206" s="174">
        <f t="shared" si="21"/>
        <v>734.31</v>
      </c>
    </row>
    <row r="207" spans="2:11" ht="25.5">
      <c r="B207" s="175" t="s">
        <v>837</v>
      </c>
      <c r="C207" s="170" t="s">
        <v>1834</v>
      </c>
      <c r="D207" s="171" t="s">
        <v>1619</v>
      </c>
      <c r="E207" s="171" t="s">
        <v>1617</v>
      </c>
      <c r="F207" s="172">
        <v>10</v>
      </c>
      <c r="G207" s="178">
        <f>ROUND(S207*1.25,2)</f>
        <v>0</v>
      </c>
      <c r="H207" s="174">
        <f t="shared" si="22"/>
        <v>0</v>
      </c>
      <c r="I207" s="173">
        <v>0.23</v>
      </c>
      <c r="J207" s="174">
        <f t="shared" si="20"/>
        <v>0</v>
      </c>
      <c r="K207" s="174">
        <f t="shared" si="21"/>
        <v>0</v>
      </c>
    </row>
    <row r="208" spans="2:11" ht="25.5">
      <c r="B208" s="162" t="s">
        <v>840</v>
      </c>
      <c r="C208" s="170" t="s">
        <v>1835</v>
      </c>
      <c r="D208" s="171" t="s">
        <v>1836</v>
      </c>
      <c r="E208" s="171" t="s">
        <v>1617</v>
      </c>
      <c r="F208" s="172">
        <v>2</v>
      </c>
      <c r="G208" s="166">
        <f t="shared" si="19"/>
        <v>0</v>
      </c>
      <c r="H208" s="167">
        <f t="shared" si="22"/>
        <v>0</v>
      </c>
      <c r="I208" s="173">
        <v>0.23</v>
      </c>
      <c r="J208" s="167">
        <f t="shared" si="20"/>
        <v>0</v>
      </c>
      <c r="K208" s="167">
        <f t="shared" si="21"/>
        <v>0</v>
      </c>
    </row>
    <row r="209" spans="2:11" ht="39">
      <c r="B209" s="162" t="s">
        <v>844</v>
      </c>
      <c r="C209" s="198" t="s">
        <v>1837</v>
      </c>
      <c r="D209" s="179" t="s">
        <v>1642</v>
      </c>
      <c r="E209" s="180" t="s">
        <v>1624</v>
      </c>
      <c r="F209" s="181">
        <v>5</v>
      </c>
      <c r="G209" s="182">
        <v>25</v>
      </c>
      <c r="H209" s="167">
        <f t="shared" si="22"/>
        <v>125</v>
      </c>
      <c r="I209" s="173">
        <v>0.23</v>
      </c>
      <c r="J209" s="174">
        <f t="shared" si="20"/>
        <v>28.75</v>
      </c>
      <c r="K209" s="174">
        <f t="shared" si="21"/>
        <v>153.75</v>
      </c>
    </row>
    <row r="210" spans="2:11">
      <c r="B210" s="162" t="s">
        <v>848</v>
      </c>
      <c r="C210" s="163" t="s">
        <v>1838</v>
      </c>
      <c r="D210" s="164" t="s">
        <v>1839</v>
      </c>
      <c r="E210" s="164" t="s">
        <v>1617</v>
      </c>
      <c r="F210" s="165">
        <v>10</v>
      </c>
      <c r="G210" s="166">
        <f t="shared" si="19"/>
        <v>0</v>
      </c>
      <c r="H210" s="167">
        <f t="shared" si="22"/>
        <v>0</v>
      </c>
      <c r="I210" s="168">
        <v>0.08</v>
      </c>
      <c r="J210" s="167">
        <f t="shared" si="20"/>
        <v>0</v>
      </c>
      <c r="K210" s="167">
        <f t="shared" si="21"/>
        <v>0</v>
      </c>
    </row>
    <row r="211" spans="2:11">
      <c r="B211" s="175" t="s">
        <v>852</v>
      </c>
      <c r="C211" s="170" t="s">
        <v>1840</v>
      </c>
      <c r="D211" s="176"/>
      <c r="E211" s="176" t="s">
        <v>1624</v>
      </c>
      <c r="F211" s="177">
        <v>30</v>
      </c>
      <c r="G211" s="178">
        <f>ROUND(S211*1.2,2)</f>
        <v>0</v>
      </c>
      <c r="H211" s="174">
        <f t="shared" si="22"/>
        <v>0</v>
      </c>
      <c r="I211" s="184">
        <v>0.23</v>
      </c>
      <c r="J211" s="174">
        <f t="shared" si="20"/>
        <v>0</v>
      </c>
      <c r="K211" s="174">
        <f t="shared" si="21"/>
        <v>0</v>
      </c>
    </row>
    <row r="212" spans="2:11">
      <c r="B212" s="162" t="s">
        <v>855</v>
      </c>
      <c r="C212" s="199" t="s">
        <v>1841</v>
      </c>
      <c r="D212" s="164"/>
      <c r="E212" s="164" t="s">
        <v>1842</v>
      </c>
      <c r="F212" s="165">
        <v>2</v>
      </c>
      <c r="G212" s="166">
        <f>ROUND(S212*1.13,2)</f>
        <v>0</v>
      </c>
      <c r="H212" s="167">
        <f t="shared" si="22"/>
        <v>0</v>
      </c>
      <c r="I212" s="183">
        <v>0.23</v>
      </c>
      <c r="J212" s="167">
        <f t="shared" si="20"/>
        <v>0</v>
      </c>
      <c r="K212" s="167">
        <f t="shared" si="21"/>
        <v>0</v>
      </c>
    </row>
    <row r="213" spans="2:11">
      <c r="B213" s="162" t="s">
        <v>858</v>
      </c>
      <c r="C213" s="199" t="s">
        <v>1843</v>
      </c>
      <c r="D213" s="164"/>
      <c r="E213" s="164" t="s">
        <v>1624</v>
      </c>
      <c r="F213" s="165">
        <v>100</v>
      </c>
      <c r="G213" s="166">
        <f t="shared" si="19"/>
        <v>0</v>
      </c>
      <c r="H213" s="167">
        <f t="shared" si="22"/>
        <v>0</v>
      </c>
      <c r="I213" s="183">
        <v>0.23</v>
      </c>
      <c r="J213" s="167">
        <f t="shared" si="20"/>
        <v>0</v>
      </c>
      <c r="K213" s="167">
        <f t="shared" si="21"/>
        <v>0</v>
      </c>
    </row>
    <row r="214" spans="2:11">
      <c r="B214" s="162" t="s">
        <v>861</v>
      </c>
      <c r="C214" s="199" t="s">
        <v>1844</v>
      </c>
      <c r="D214" s="164" t="s">
        <v>1619</v>
      </c>
      <c r="E214" s="164" t="s">
        <v>1637</v>
      </c>
      <c r="F214" s="165">
        <v>20</v>
      </c>
      <c r="G214" s="166">
        <f t="shared" si="19"/>
        <v>0</v>
      </c>
      <c r="H214" s="167">
        <f t="shared" si="22"/>
        <v>0</v>
      </c>
      <c r="I214" s="183">
        <v>0.23</v>
      </c>
      <c r="J214" s="167">
        <f t="shared" si="20"/>
        <v>0</v>
      </c>
      <c r="K214" s="167">
        <f t="shared" si="21"/>
        <v>0</v>
      </c>
    </row>
    <row r="215" spans="2:11">
      <c r="B215" s="162" t="s">
        <v>866</v>
      </c>
      <c r="C215" s="199" t="s">
        <v>1845</v>
      </c>
      <c r="D215" s="164" t="s">
        <v>1619</v>
      </c>
      <c r="E215" s="164" t="s">
        <v>1637</v>
      </c>
      <c r="F215" s="165">
        <v>20</v>
      </c>
      <c r="G215" s="166">
        <f t="shared" si="19"/>
        <v>0</v>
      </c>
      <c r="H215" s="167">
        <f t="shared" si="22"/>
        <v>0</v>
      </c>
      <c r="I215" s="183">
        <v>0.23</v>
      </c>
      <c r="J215" s="167">
        <f t="shared" si="20"/>
        <v>0</v>
      </c>
      <c r="K215" s="167">
        <f t="shared" si="21"/>
        <v>0</v>
      </c>
    </row>
    <row r="216" spans="2:11">
      <c r="B216" s="162" t="s">
        <v>870</v>
      </c>
      <c r="C216" s="199" t="s">
        <v>1846</v>
      </c>
      <c r="D216" s="164" t="s">
        <v>1619</v>
      </c>
      <c r="E216" s="164" t="s">
        <v>1637</v>
      </c>
      <c r="F216" s="165">
        <v>20</v>
      </c>
      <c r="G216" s="166">
        <f t="shared" si="19"/>
        <v>0</v>
      </c>
      <c r="H216" s="167">
        <f t="shared" si="22"/>
        <v>0</v>
      </c>
      <c r="I216" s="183">
        <v>0.23</v>
      </c>
      <c r="J216" s="167">
        <f t="shared" si="20"/>
        <v>0</v>
      </c>
      <c r="K216" s="167">
        <f t="shared" si="21"/>
        <v>0</v>
      </c>
    </row>
    <row r="217" spans="2:11">
      <c r="B217" s="162" t="s">
        <v>875</v>
      </c>
      <c r="C217" s="163" t="s">
        <v>1847</v>
      </c>
      <c r="D217" s="164"/>
      <c r="E217" s="164" t="s">
        <v>1624</v>
      </c>
      <c r="F217" s="165">
        <v>30</v>
      </c>
      <c r="G217" s="166">
        <f>ROUND(S217*1.13,2)</f>
        <v>0</v>
      </c>
      <c r="H217" s="167">
        <f t="shared" si="22"/>
        <v>0</v>
      </c>
      <c r="I217" s="168">
        <v>0.23</v>
      </c>
      <c r="J217" s="167">
        <f t="shared" si="20"/>
        <v>0</v>
      </c>
      <c r="K217" s="167">
        <f t="shared" si="21"/>
        <v>0</v>
      </c>
    </row>
    <row r="218" spans="2:11">
      <c r="B218" s="162" t="s">
        <v>878</v>
      </c>
      <c r="C218" s="163" t="s">
        <v>1848</v>
      </c>
      <c r="D218" s="164" t="s">
        <v>1606</v>
      </c>
      <c r="E218" s="164" t="s">
        <v>1624</v>
      </c>
      <c r="F218" s="165">
        <v>30</v>
      </c>
      <c r="G218" s="166">
        <f t="shared" ref="G218:G222" si="23">ROUND(S218*1.13,2)</f>
        <v>0</v>
      </c>
      <c r="H218" s="167">
        <f t="shared" si="22"/>
        <v>0</v>
      </c>
      <c r="I218" s="168">
        <v>0.23</v>
      </c>
      <c r="J218" s="167">
        <f t="shared" si="20"/>
        <v>0</v>
      </c>
      <c r="K218" s="167">
        <f t="shared" si="21"/>
        <v>0</v>
      </c>
    </row>
    <row r="219" spans="2:11">
      <c r="B219" s="162" t="s">
        <v>881</v>
      </c>
      <c r="C219" s="163" t="s">
        <v>1849</v>
      </c>
      <c r="D219" s="164" t="s">
        <v>1606</v>
      </c>
      <c r="E219" s="164" t="s">
        <v>1624</v>
      </c>
      <c r="F219" s="165">
        <v>30</v>
      </c>
      <c r="G219" s="166">
        <f t="shared" si="23"/>
        <v>0</v>
      </c>
      <c r="H219" s="167">
        <f t="shared" si="22"/>
        <v>0</v>
      </c>
      <c r="I219" s="168">
        <v>0.23</v>
      </c>
      <c r="J219" s="167">
        <f t="shared" si="20"/>
        <v>0</v>
      </c>
      <c r="K219" s="167">
        <f t="shared" si="21"/>
        <v>0</v>
      </c>
    </row>
    <row r="220" spans="2:11">
      <c r="B220" s="162" t="s">
        <v>884</v>
      </c>
      <c r="C220" s="163" t="s">
        <v>1850</v>
      </c>
      <c r="D220" s="164" t="s">
        <v>1606</v>
      </c>
      <c r="E220" s="164" t="s">
        <v>1624</v>
      </c>
      <c r="F220" s="165">
        <v>20</v>
      </c>
      <c r="G220" s="166">
        <f t="shared" si="23"/>
        <v>0</v>
      </c>
      <c r="H220" s="167">
        <f t="shared" si="22"/>
        <v>0</v>
      </c>
      <c r="I220" s="168">
        <v>0.23</v>
      </c>
      <c r="J220" s="167">
        <f t="shared" si="20"/>
        <v>0</v>
      </c>
      <c r="K220" s="167">
        <f t="shared" si="21"/>
        <v>0</v>
      </c>
    </row>
    <row r="221" spans="2:11">
      <c r="B221" s="162" t="s">
        <v>887</v>
      </c>
      <c r="C221" s="163" t="s">
        <v>1851</v>
      </c>
      <c r="D221" s="164" t="s">
        <v>1606</v>
      </c>
      <c r="E221" s="164" t="s">
        <v>1624</v>
      </c>
      <c r="F221" s="165">
        <v>20</v>
      </c>
      <c r="G221" s="166">
        <f t="shared" si="23"/>
        <v>0</v>
      </c>
      <c r="H221" s="167">
        <f t="shared" si="22"/>
        <v>0</v>
      </c>
      <c r="I221" s="168">
        <v>0.23</v>
      </c>
      <c r="J221" s="167">
        <f t="shared" si="20"/>
        <v>0</v>
      </c>
      <c r="K221" s="167">
        <f t="shared" si="21"/>
        <v>0</v>
      </c>
    </row>
    <row r="222" spans="2:11">
      <c r="B222" s="162" t="s">
        <v>891</v>
      </c>
      <c r="C222" s="163" t="s">
        <v>1852</v>
      </c>
      <c r="D222" s="164" t="s">
        <v>1606</v>
      </c>
      <c r="E222" s="164" t="s">
        <v>1624</v>
      </c>
      <c r="F222" s="165">
        <v>20</v>
      </c>
      <c r="G222" s="166">
        <f t="shared" si="23"/>
        <v>0</v>
      </c>
      <c r="H222" s="167">
        <f t="shared" si="22"/>
        <v>0</v>
      </c>
      <c r="I222" s="168">
        <v>0.23</v>
      </c>
      <c r="J222" s="167">
        <f t="shared" si="20"/>
        <v>0</v>
      </c>
      <c r="K222" s="167">
        <f t="shared" si="21"/>
        <v>0</v>
      </c>
    </row>
    <row r="223" spans="2:11" ht="25.5">
      <c r="B223" s="162" t="s">
        <v>894</v>
      </c>
      <c r="C223" s="163" t="s">
        <v>1853</v>
      </c>
      <c r="D223" s="165" t="s">
        <v>1854</v>
      </c>
      <c r="E223" s="164" t="s">
        <v>708</v>
      </c>
      <c r="F223" s="165">
        <v>20</v>
      </c>
      <c r="G223" s="166">
        <f>ROUND(S223*1.09,2)</f>
        <v>0</v>
      </c>
      <c r="H223" s="167">
        <f t="shared" si="22"/>
        <v>0</v>
      </c>
      <c r="I223" s="168">
        <v>0.08</v>
      </c>
      <c r="J223" s="167">
        <f t="shared" si="20"/>
        <v>0</v>
      </c>
      <c r="K223" s="167">
        <f t="shared" si="21"/>
        <v>0</v>
      </c>
    </row>
    <row r="224" spans="2:11" ht="25.5">
      <c r="B224" s="162" t="s">
        <v>897</v>
      </c>
      <c r="C224" s="163" t="s">
        <v>1855</v>
      </c>
      <c r="D224" s="165" t="s">
        <v>1854</v>
      </c>
      <c r="E224" s="164" t="s">
        <v>1856</v>
      </c>
      <c r="F224" s="165">
        <v>20</v>
      </c>
      <c r="G224" s="166">
        <f t="shared" ref="G224:G239" si="24">ROUND(S224*1.09,2)</f>
        <v>0</v>
      </c>
      <c r="H224" s="167">
        <f t="shared" si="22"/>
        <v>0</v>
      </c>
      <c r="I224" s="168">
        <v>0.08</v>
      </c>
      <c r="J224" s="167">
        <f t="shared" si="20"/>
        <v>0</v>
      </c>
      <c r="K224" s="167">
        <f t="shared" si="21"/>
        <v>0</v>
      </c>
    </row>
    <row r="225" spans="2:11" ht="25.5">
      <c r="B225" s="162" t="s">
        <v>901</v>
      </c>
      <c r="C225" s="163" t="s">
        <v>1857</v>
      </c>
      <c r="D225" s="165" t="s">
        <v>1854</v>
      </c>
      <c r="E225" s="164" t="s">
        <v>1856</v>
      </c>
      <c r="F225" s="165">
        <v>20</v>
      </c>
      <c r="G225" s="166">
        <f t="shared" si="24"/>
        <v>0</v>
      </c>
      <c r="H225" s="167">
        <f t="shared" si="22"/>
        <v>0</v>
      </c>
      <c r="I225" s="168">
        <v>0.08</v>
      </c>
      <c r="J225" s="167">
        <f t="shared" si="20"/>
        <v>0</v>
      </c>
      <c r="K225" s="167">
        <f t="shared" si="21"/>
        <v>0</v>
      </c>
    </row>
    <row r="226" spans="2:11" ht="25.5">
      <c r="B226" s="162" t="s">
        <v>906</v>
      </c>
      <c r="C226" s="163" t="s">
        <v>1858</v>
      </c>
      <c r="D226" s="165" t="s">
        <v>1854</v>
      </c>
      <c r="E226" s="164" t="s">
        <v>708</v>
      </c>
      <c r="F226" s="165">
        <v>10</v>
      </c>
      <c r="G226" s="166">
        <f t="shared" si="24"/>
        <v>0</v>
      </c>
      <c r="H226" s="167">
        <f t="shared" si="22"/>
        <v>0</v>
      </c>
      <c r="I226" s="168">
        <v>0.08</v>
      </c>
      <c r="J226" s="167">
        <f t="shared" si="20"/>
        <v>0</v>
      </c>
      <c r="K226" s="167">
        <f t="shared" si="21"/>
        <v>0</v>
      </c>
    </row>
    <row r="227" spans="2:11" ht="25.5">
      <c r="B227" s="162" t="s">
        <v>912</v>
      </c>
      <c r="C227" s="163" t="s">
        <v>1859</v>
      </c>
      <c r="D227" s="165" t="s">
        <v>1854</v>
      </c>
      <c r="E227" s="164" t="s">
        <v>1856</v>
      </c>
      <c r="F227" s="165">
        <v>20</v>
      </c>
      <c r="G227" s="166">
        <f t="shared" si="24"/>
        <v>0</v>
      </c>
      <c r="H227" s="167">
        <f t="shared" si="22"/>
        <v>0</v>
      </c>
      <c r="I227" s="168">
        <v>0.08</v>
      </c>
      <c r="J227" s="167">
        <f t="shared" si="20"/>
        <v>0</v>
      </c>
      <c r="K227" s="167">
        <f t="shared" si="21"/>
        <v>0</v>
      </c>
    </row>
    <row r="228" spans="2:11" ht="25.5">
      <c r="B228" s="162" t="s">
        <v>915</v>
      </c>
      <c r="C228" s="163" t="s">
        <v>1860</v>
      </c>
      <c r="D228" s="165" t="s">
        <v>1854</v>
      </c>
      <c r="E228" s="164" t="s">
        <v>1624</v>
      </c>
      <c r="F228" s="165">
        <v>20</v>
      </c>
      <c r="G228" s="166">
        <f t="shared" si="24"/>
        <v>0</v>
      </c>
      <c r="H228" s="167">
        <f t="shared" si="22"/>
        <v>0</v>
      </c>
      <c r="I228" s="168">
        <v>0.08</v>
      </c>
      <c r="J228" s="167">
        <f t="shared" si="20"/>
        <v>0</v>
      </c>
      <c r="K228" s="167">
        <f t="shared" si="21"/>
        <v>0</v>
      </c>
    </row>
    <row r="229" spans="2:11" ht="25.5">
      <c r="B229" s="162" t="s">
        <v>917</v>
      </c>
      <c r="C229" s="163" t="s">
        <v>1861</v>
      </c>
      <c r="D229" s="165" t="s">
        <v>1854</v>
      </c>
      <c r="E229" s="164" t="s">
        <v>1624</v>
      </c>
      <c r="F229" s="165">
        <v>20</v>
      </c>
      <c r="G229" s="166">
        <f t="shared" si="24"/>
        <v>0</v>
      </c>
      <c r="H229" s="167">
        <f t="shared" si="22"/>
        <v>0</v>
      </c>
      <c r="I229" s="168">
        <v>0.08</v>
      </c>
      <c r="J229" s="167">
        <f t="shared" si="20"/>
        <v>0</v>
      </c>
      <c r="K229" s="167">
        <f t="shared" si="21"/>
        <v>0</v>
      </c>
    </row>
    <row r="230" spans="2:11" ht="25.5">
      <c r="B230" s="162" t="s">
        <v>920</v>
      </c>
      <c r="C230" s="163" t="s">
        <v>1862</v>
      </c>
      <c r="D230" s="165" t="s">
        <v>1854</v>
      </c>
      <c r="E230" s="164" t="s">
        <v>708</v>
      </c>
      <c r="F230" s="165">
        <v>20</v>
      </c>
      <c r="G230" s="166">
        <f t="shared" si="24"/>
        <v>0</v>
      </c>
      <c r="H230" s="167">
        <f t="shared" si="22"/>
        <v>0</v>
      </c>
      <c r="I230" s="168">
        <v>0.08</v>
      </c>
      <c r="J230" s="167">
        <f t="shared" si="20"/>
        <v>0</v>
      </c>
      <c r="K230" s="167">
        <f t="shared" si="21"/>
        <v>0</v>
      </c>
    </row>
    <row r="231" spans="2:11" ht="25.5">
      <c r="B231" s="162" t="s">
        <v>923</v>
      </c>
      <c r="C231" s="163" t="s">
        <v>1863</v>
      </c>
      <c r="D231" s="165" t="s">
        <v>1854</v>
      </c>
      <c r="E231" s="164" t="s">
        <v>1624</v>
      </c>
      <c r="F231" s="165">
        <v>20</v>
      </c>
      <c r="G231" s="166">
        <f t="shared" si="24"/>
        <v>0</v>
      </c>
      <c r="H231" s="167">
        <f t="shared" si="22"/>
        <v>0</v>
      </c>
      <c r="I231" s="168">
        <v>0.08</v>
      </c>
      <c r="J231" s="167">
        <f t="shared" si="20"/>
        <v>0</v>
      </c>
      <c r="K231" s="167">
        <f t="shared" si="21"/>
        <v>0</v>
      </c>
    </row>
    <row r="232" spans="2:11" ht="25.5">
      <c r="B232" s="162" t="s">
        <v>927</v>
      </c>
      <c r="C232" s="163" t="s">
        <v>1864</v>
      </c>
      <c r="D232" s="165" t="s">
        <v>1854</v>
      </c>
      <c r="E232" s="164" t="s">
        <v>1856</v>
      </c>
      <c r="F232" s="165">
        <v>10</v>
      </c>
      <c r="G232" s="166">
        <f t="shared" si="24"/>
        <v>0</v>
      </c>
      <c r="H232" s="167">
        <f t="shared" si="22"/>
        <v>0</v>
      </c>
      <c r="I232" s="168">
        <v>0.08</v>
      </c>
      <c r="J232" s="167">
        <f t="shared" si="20"/>
        <v>0</v>
      </c>
      <c r="K232" s="167">
        <f t="shared" si="21"/>
        <v>0</v>
      </c>
    </row>
    <row r="233" spans="2:11" ht="25.5">
      <c r="B233" s="162" t="s">
        <v>931</v>
      </c>
      <c r="C233" s="163" t="s">
        <v>1865</v>
      </c>
      <c r="D233" s="165" t="s">
        <v>1854</v>
      </c>
      <c r="E233" s="164" t="s">
        <v>1856</v>
      </c>
      <c r="F233" s="165">
        <v>10</v>
      </c>
      <c r="G233" s="166">
        <f t="shared" si="24"/>
        <v>0</v>
      </c>
      <c r="H233" s="167">
        <f t="shared" si="22"/>
        <v>0</v>
      </c>
      <c r="I233" s="168">
        <v>0.08</v>
      </c>
      <c r="J233" s="167">
        <f t="shared" si="20"/>
        <v>0</v>
      </c>
      <c r="K233" s="167">
        <f t="shared" si="21"/>
        <v>0</v>
      </c>
    </row>
    <row r="234" spans="2:11" ht="25.5">
      <c r="B234" s="162" t="s">
        <v>934</v>
      </c>
      <c r="C234" s="200" t="s">
        <v>1866</v>
      </c>
      <c r="D234" s="165" t="s">
        <v>1854</v>
      </c>
      <c r="E234" s="164" t="s">
        <v>1856</v>
      </c>
      <c r="F234" s="165">
        <v>10</v>
      </c>
      <c r="G234" s="166">
        <f t="shared" si="24"/>
        <v>0</v>
      </c>
      <c r="H234" s="167">
        <f t="shared" si="22"/>
        <v>0</v>
      </c>
      <c r="I234" s="201">
        <v>0.08</v>
      </c>
      <c r="J234" s="167">
        <f t="shared" si="20"/>
        <v>0</v>
      </c>
      <c r="K234" s="167">
        <f t="shared" si="21"/>
        <v>0</v>
      </c>
    </row>
    <row r="235" spans="2:11" ht="25.5">
      <c r="B235" s="162" t="s">
        <v>937</v>
      </c>
      <c r="C235" s="163" t="s">
        <v>1867</v>
      </c>
      <c r="D235" s="165" t="s">
        <v>1854</v>
      </c>
      <c r="E235" s="164" t="s">
        <v>1856</v>
      </c>
      <c r="F235" s="165">
        <v>10</v>
      </c>
      <c r="G235" s="166">
        <f t="shared" si="24"/>
        <v>0</v>
      </c>
      <c r="H235" s="167">
        <f t="shared" si="22"/>
        <v>0</v>
      </c>
      <c r="I235" s="168">
        <v>0.08</v>
      </c>
      <c r="J235" s="167">
        <f t="shared" si="20"/>
        <v>0</v>
      </c>
      <c r="K235" s="167">
        <f t="shared" si="21"/>
        <v>0</v>
      </c>
    </row>
    <row r="236" spans="2:11" ht="25.5">
      <c r="B236" s="162" t="s">
        <v>940</v>
      </c>
      <c r="C236" s="163" t="s">
        <v>1868</v>
      </c>
      <c r="D236" s="165" t="s">
        <v>1854</v>
      </c>
      <c r="E236" s="164" t="s">
        <v>1624</v>
      </c>
      <c r="F236" s="165">
        <v>10</v>
      </c>
      <c r="G236" s="166">
        <f t="shared" si="24"/>
        <v>0</v>
      </c>
      <c r="H236" s="167">
        <f t="shared" si="22"/>
        <v>0</v>
      </c>
      <c r="I236" s="168">
        <v>0.08</v>
      </c>
      <c r="J236" s="167">
        <f t="shared" si="20"/>
        <v>0</v>
      </c>
      <c r="K236" s="167">
        <f t="shared" si="21"/>
        <v>0</v>
      </c>
    </row>
    <row r="237" spans="2:11" ht="25.5">
      <c r="B237" s="162" t="s">
        <v>943</v>
      </c>
      <c r="C237" s="163" t="s">
        <v>1869</v>
      </c>
      <c r="D237" s="165" t="s">
        <v>1854</v>
      </c>
      <c r="E237" s="164" t="s">
        <v>1624</v>
      </c>
      <c r="F237" s="165">
        <v>10</v>
      </c>
      <c r="G237" s="166">
        <f t="shared" si="24"/>
        <v>0</v>
      </c>
      <c r="H237" s="167">
        <f t="shared" si="22"/>
        <v>0</v>
      </c>
      <c r="I237" s="168">
        <v>0.08</v>
      </c>
      <c r="J237" s="167">
        <f t="shared" si="20"/>
        <v>0</v>
      </c>
      <c r="K237" s="167">
        <f t="shared" si="21"/>
        <v>0</v>
      </c>
    </row>
    <row r="238" spans="2:11" ht="25.5">
      <c r="B238" s="162" t="s">
        <v>946</v>
      </c>
      <c r="C238" s="163" t="s">
        <v>1870</v>
      </c>
      <c r="D238" s="165" t="s">
        <v>1854</v>
      </c>
      <c r="E238" s="164" t="s">
        <v>1624</v>
      </c>
      <c r="F238" s="165">
        <v>10</v>
      </c>
      <c r="G238" s="166">
        <f t="shared" si="24"/>
        <v>0</v>
      </c>
      <c r="H238" s="167">
        <f t="shared" si="22"/>
        <v>0</v>
      </c>
      <c r="I238" s="168">
        <v>0.08</v>
      </c>
      <c r="J238" s="167">
        <f t="shared" si="20"/>
        <v>0</v>
      </c>
      <c r="K238" s="167">
        <f t="shared" si="21"/>
        <v>0</v>
      </c>
    </row>
    <row r="239" spans="2:11" ht="25.5">
      <c r="B239" s="162" t="s">
        <v>950</v>
      </c>
      <c r="C239" s="163" t="s">
        <v>1871</v>
      </c>
      <c r="D239" s="165" t="s">
        <v>1854</v>
      </c>
      <c r="E239" s="164" t="s">
        <v>1624</v>
      </c>
      <c r="F239" s="165">
        <v>5</v>
      </c>
      <c r="G239" s="166">
        <f t="shared" si="24"/>
        <v>0</v>
      </c>
      <c r="H239" s="167">
        <f t="shared" si="22"/>
        <v>0</v>
      </c>
      <c r="I239" s="168">
        <v>0.08</v>
      </c>
      <c r="J239" s="167">
        <f t="shared" si="20"/>
        <v>0</v>
      </c>
      <c r="K239" s="167">
        <f t="shared" si="21"/>
        <v>0</v>
      </c>
    </row>
    <row r="240" spans="2:11">
      <c r="B240" s="162" t="s">
        <v>953</v>
      </c>
      <c r="C240" s="163" t="s">
        <v>1872</v>
      </c>
      <c r="D240" s="165" t="s">
        <v>1854</v>
      </c>
      <c r="E240" s="164" t="s">
        <v>1873</v>
      </c>
      <c r="F240" s="165">
        <v>50</v>
      </c>
      <c r="G240" s="166">
        <f>ROUND(S240*1.1,2)</f>
        <v>0</v>
      </c>
      <c r="H240" s="167">
        <f t="shared" si="22"/>
        <v>0</v>
      </c>
      <c r="I240" s="168">
        <v>0.08</v>
      </c>
      <c r="J240" s="167">
        <f t="shared" si="20"/>
        <v>0</v>
      </c>
      <c r="K240" s="167">
        <f t="shared" si="21"/>
        <v>0</v>
      </c>
    </row>
    <row r="241" spans="2:11">
      <c r="B241" s="162" t="s">
        <v>956</v>
      </c>
      <c r="C241" s="163" t="s">
        <v>1874</v>
      </c>
      <c r="D241" s="165" t="s">
        <v>1854</v>
      </c>
      <c r="E241" s="164" t="s">
        <v>1873</v>
      </c>
      <c r="F241" s="165">
        <v>50</v>
      </c>
      <c r="G241" s="166">
        <f t="shared" ref="G241:G294" si="25">ROUND(S241*1.1,2)</f>
        <v>0</v>
      </c>
      <c r="H241" s="167">
        <f t="shared" si="22"/>
        <v>0</v>
      </c>
      <c r="I241" s="168">
        <v>0.08</v>
      </c>
      <c r="J241" s="167">
        <f t="shared" si="20"/>
        <v>0</v>
      </c>
      <c r="K241" s="167">
        <f t="shared" si="21"/>
        <v>0</v>
      </c>
    </row>
    <row r="242" spans="2:11">
      <c r="B242" s="162" t="s">
        <v>961</v>
      </c>
      <c r="C242" s="163" t="s">
        <v>1875</v>
      </c>
      <c r="D242" s="165" t="s">
        <v>1854</v>
      </c>
      <c r="E242" s="164" t="s">
        <v>1617</v>
      </c>
      <c r="F242" s="165">
        <v>50</v>
      </c>
      <c r="G242" s="166">
        <f t="shared" si="25"/>
        <v>0</v>
      </c>
      <c r="H242" s="167">
        <f t="shared" si="22"/>
        <v>0</v>
      </c>
      <c r="I242" s="168">
        <v>0.08</v>
      </c>
      <c r="J242" s="167">
        <f t="shared" si="20"/>
        <v>0</v>
      </c>
      <c r="K242" s="167">
        <f t="shared" si="21"/>
        <v>0</v>
      </c>
    </row>
    <row r="243" spans="2:11">
      <c r="B243" s="162" t="s">
        <v>965</v>
      </c>
      <c r="C243" s="163" t="s">
        <v>1876</v>
      </c>
      <c r="D243" s="165" t="s">
        <v>1606</v>
      </c>
      <c r="E243" s="164" t="s">
        <v>1617</v>
      </c>
      <c r="F243" s="165">
        <v>20</v>
      </c>
      <c r="G243" s="166">
        <f t="shared" si="25"/>
        <v>0</v>
      </c>
      <c r="H243" s="167">
        <f t="shared" si="22"/>
        <v>0</v>
      </c>
      <c r="I243" s="168">
        <v>0.08</v>
      </c>
      <c r="J243" s="167">
        <f t="shared" si="20"/>
        <v>0</v>
      </c>
      <c r="K243" s="167">
        <f t="shared" si="21"/>
        <v>0</v>
      </c>
    </row>
    <row r="244" spans="2:11">
      <c r="B244" s="162" t="s">
        <v>972</v>
      </c>
      <c r="C244" s="163" t="s">
        <v>1877</v>
      </c>
      <c r="D244" s="165" t="s">
        <v>1606</v>
      </c>
      <c r="E244" s="164" t="s">
        <v>1617</v>
      </c>
      <c r="F244" s="165">
        <v>20</v>
      </c>
      <c r="G244" s="166">
        <f t="shared" si="25"/>
        <v>0</v>
      </c>
      <c r="H244" s="167">
        <f t="shared" si="22"/>
        <v>0</v>
      </c>
      <c r="I244" s="168">
        <v>0.08</v>
      </c>
      <c r="J244" s="167">
        <f t="shared" si="20"/>
        <v>0</v>
      </c>
      <c r="K244" s="167">
        <f t="shared" si="21"/>
        <v>0</v>
      </c>
    </row>
    <row r="245" spans="2:11">
      <c r="B245" s="162" t="s">
        <v>976</v>
      </c>
      <c r="C245" s="163" t="s">
        <v>1878</v>
      </c>
      <c r="D245" s="165" t="s">
        <v>1606</v>
      </c>
      <c r="E245" s="164" t="s">
        <v>1617</v>
      </c>
      <c r="F245" s="165">
        <v>20</v>
      </c>
      <c r="G245" s="166">
        <f t="shared" si="25"/>
        <v>0</v>
      </c>
      <c r="H245" s="167">
        <f t="shared" si="22"/>
        <v>0</v>
      </c>
      <c r="I245" s="168">
        <v>0.08</v>
      </c>
      <c r="J245" s="167">
        <f t="shared" si="20"/>
        <v>0</v>
      </c>
      <c r="K245" s="167">
        <f t="shared" si="21"/>
        <v>0</v>
      </c>
    </row>
    <row r="246" spans="2:11" ht="25.5">
      <c r="B246" s="162" t="s">
        <v>980</v>
      </c>
      <c r="C246" s="163" t="s">
        <v>1879</v>
      </c>
      <c r="D246" s="165" t="s">
        <v>1606</v>
      </c>
      <c r="E246" s="164" t="s">
        <v>1617</v>
      </c>
      <c r="F246" s="165">
        <v>20</v>
      </c>
      <c r="G246" s="166">
        <f t="shared" si="25"/>
        <v>0</v>
      </c>
      <c r="H246" s="167">
        <f t="shared" si="22"/>
        <v>0</v>
      </c>
      <c r="I246" s="168">
        <v>0.08</v>
      </c>
      <c r="J246" s="167">
        <f t="shared" si="20"/>
        <v>0</v>
      </c>
      <c r="K246" s="167">
        <f t="shared" si="21"/>
        <v>0</v>
      </c>
    </row>
    <row r="247" spans="2:11" ht="25.5">
      <c r="B247" s="162" t="s">
        <v>981</v>
      </c>
      <c r="C247" s="163" t="s">
        <v>1880</v>
      </c>
      <c r="D247" s="165" t="s">
        <v>1606</v>
      </c>
      <c r="E247" s="164" t="s">
        <v>1617</v>
      </c>
      <c r="F247" s="165">
        <v>20</v>
      </c>
      <c r="G247" s="166">
        <f t="shared" si="25"/>
        <v>0</v>
      </c>
      <c r="H247" s="167">
        <f t="shared" si="22"/>
        <v>0</v>
      </c>
      <c r="I247" s="168">
        <v>0.08</v>
      </c>
      <c r="J247" s="167">
        <f t="shared" si="20"/>
        <v>0</v>
      </c>
      <c r="K247" s="167">
        <f t="shared" si="21"/>
        <v>0</v>
      </c>
    </row>
    <row r="248" spans="2:11" ht="25.5">
      <c r="B248" s="162" t="s">
        <v>984</v>
      </c>
      <c r="C248" s="163" t="s">
        <v>1881</v>
      </c>
      <c r="D248" s="165" t="s">
        <v>1606</v>
      </c>
      <c r="E248" s="164" t="s">
        <v>1617</v>
      </c>
      <c r="F248" s="165">
        <v>20</v>
      </c>
      <c r="G248" s="166">
        <f t="shared" si="25"/>
        <v>0</v>
      </c>
      <c r="H248" s="167">
        <f t="shared" si="22"/>
        <v>0</v>
      </c>
      <c r="I248" s="168">
        <v>0.08</v>
      </c>
      <c r="J248" s="167">
        <f t="shared" si="20"/>
        <v>0</v>
      </c>
      <c r="K248" s="167">
        <f t="shared" si="21"/>
        <v>0</v>
      </c>
    </row>
    <row r="249" spans="2:11">
      <c r="B249" s="162" t="s">
        <v>987</v>
      </c>
      <c r="C249" s="163" t="s">
        <v>1882</v>
      </c>
      <c r="D249" s="165" t="s">
        <v>1606</v>
      </c>
      <c r="E249" s="164" t="s">
        <v>1856</v>
      </c>
      <c r="F249" s="165">
        <v>5</v>
      </c>
      <c r="G249" s="166">
        <f t="shared" si="25"/>
        <v>0</v>
      </c>
      <c r="H249" s="167">
        <f t="shared" si="22"/>
        <v>0</v>
      </c>
      <c r="I249" s="168">
        <v>0.23</v>
      </c>
      <c r="J249" s="167">
        <f t="shared" si="20"/>
        <v>0</v>
      </c>
      <c r="K249" s="167">
        <f t="shared" si="21"/>
        <v>0</v>
      </c>
    </row>
    <row r="250" spans="2:11">
      <c r="B250" s="162" t="s">
        <v>988</v>
      </c>
      <c r="C250" s="163" t="s">
        <v>1883</v>
      </c>
      <c r="D250" s="165" t="s">
        <v>1606</v>
      </c>
      <c r="E250" s="164" t="s">
        <v>708</v>
      </c>
      <c r="F250" s="165">
        <v>5</v>
      </c>
      <c r="G250" s="166">
        <f t="shared" si="25"/>
        <v>0</v>
      </c>
      <c r="H250" s="167">
        <f t="shared" si="22"/>
        <v>0</v>
      </c>
      <c r="I250" s="168">
        <v>0.23</v>
      </c>
      <c r="J250" s="167">
        <f t="shared" si="20"/>
        <v>0</v>
      </c>
      <c r="K250" s="167">
        <f t="shared" si="21"/>
        <v>0</v>
      </c>
    </row>
    <row r="251" spans="2:11">
      <c r="B251" s="162" t="s">
        <v>990</v>
      </c>
      <c r="C251" s="163" t="s">
        <v>1884</v>
      </c>
      <c r="D251" s="164" t="s">
        <v>1606</v>
      </c>
      <c r="E251" s="164" t="s">
        <v>1873</v>
      </c>
      <c r="F251" s="165">
        <v>180</v>
      </c>
      <c r="G251" s="166">
        <f t="shared" si="25"/>
        <v>0</v>
      </c>
      <c r="H251" s="167">
        <f t="shared" si="22"/>
        <v>0</v>
      </c>
      <c r="I251" s="168">
        <v>0.08</v>
      </c>
      <c r="J251" s="167">
        <f t="shared" si="20"/>
        <v>0</v>
      </c>
      <c r="K251" s="167">
        <f t="shared" si="21"/>
        <v>0</v>
      </c>
    </row>
    <row r="252" spans="2:11">
      <c r="B252" s="162" t="s">
        <v>991</v>
      </c>
      <c r="C252" s="163" t="s">
        <v>1885</v>
      </c>
      <c r="D252" s="164" t="s">
        <v>1606</v>
      </c>
      <c r="E252" s="164" t="s">
        <v>1873</v>
      </c>
      <c r="F252" s="165">
        <v>200</v>
      </c>
      <c r="G252" s="166">
        <f t="shared" si="25"/>
        <v>0</v>
      </c>
      <c r="H252" s="167">
        <f t="shared" si="22"/>
        <v>0</v>
      </c>
      <c r="I252" s="168">
        <v>0.08</v>
      </c>
      <c r="J252" s="167">
        <f t="shared" si="20"/>
        <v>0</v>
      </c>
      <c r="K252" s="167">
        <f t="shared" si="21"/>
        <v>0</v>
      </c>
    </row>
    <row r="253" spans="2:11">
      <c r="B253" s="162" t="s">
        <v>995</v>
      </c>
      <c r="C253" s="163" t="s">
        <v>1886</v>
      </c>
      <c r="D253" s="164" t="s">
        <v>1606</v>
      </c>
      <c r="E253" s="164" t="s">
        <v>1873</v>
      </c>
      <c r="F253" s="165">
        <v>200</v>
      </c>
      <c r="G253" s="166">
        <f t="shared" si="25"/>
        <v>0</v>
      </c>
      <c r="H253" s="167">
        <f t="shared" si="22"/>
        <v>0</v>
      </c>
      <c r="I253" s="168">
        <v>0.08</v>
      </c>
      <c r="J253" s="167">
        <f t="shared" si="20"/>
        <v>0</v>
      </c>
      <c r="K253" s="167">
        <f t="shared" si="21"/>
        <v>0</v>
      </c>
    </row>
    <row r="254" spans="2:11">
      <c r="B254" s="162" t="s">
        <v>998</v>
      </c>
      <c r="C254" s="163" t="s">
        <v>1887</v>
      </c>
      <c r="D254" s="165" t="s">
        <v>1606</v>
      </c>
      <c r="E254" s="164" t="s">
        <v>1617</v>
      </c>
      <c r="F254" s="165">
        <v>50</v>
      </c>
      <c r="G254" s="166">
        <f t="shared" si="25"/>
        <v>0</v>
      </c>
      <c r="H254" s="167">
        <f t="shared" si="22"/>
        <v>0</v>
      </c>
      <c r="I254" s="168">
        <v>0.08</v>
      </c>
      <c r="J254" s="167">
        <f t="shared" ref="J254:J294" si="26">K254-H254</f>
        <v>0</v>
      </c>
      <c r="K254" s="167">
        <f t="shared" ref="K254:K294" si="27">H254+H254*I254</f>
        <v>0</v>
      </c>
    </row>
    <row r="255" spans="2:11">
      <c r="B255" s="162" t="s">
        <v>1001</v>
      </c>
      <c r="C255" s="163" t="s">
        <v>1888</v>
      </c>
      <c r="D255" s="165" t="s">
        <v>1606</v>
      </c>
      <c r="E255" s="164" t="s">
        <v>1873</v>
      </c>
      <c r="F255" s="165">
        <v>50</v>
      </c>
      <c r="G255" s="166">
        <f t="shared" si="25"/>
        <v>0</v>
      </c>
      <c r="H255" s="167">
        <f t="shared" si="22"/>
        <v>0</v>
      </c>
      <c r="I255" s="168">
        <v>0.08</v>
      </c>
      <c r="J255" s="167">
        <f t="shared" si="26"/>
        <v>0</v>
      </c>
      <c r="K255" s="167">
        <f t="shared" si="27"/>
        <v>0</v>
      </c>
    </row>
    <row r="256" spans="2:11">
      <c r="B256" s="162" t="s">
        <v>1004</v>
      </c>
      <c r="C256" s="163" t="s">
        <v>1889</v>
      </c>
      <c r="D256" s="165" t="s">
        <v>1606</v>
      </c>
      <c r="E256" s="164" t="s">
        <v>1873</v>
      </c>
      <c r="F256" s="165">
        <v>50</v>
      </c>
      <c r="G256" s="166">
        <f t="shared" si="25"/>
        <v>0</v>
      </c>
      <c r="H256" s="167">
        <f t="shared" si="22"/>
        <v>0</v>
      </c>
      <c r="I256" s="168">
        <v>0.08</v>
      </c>
      <c r="J256" s="167">
        <f t="shared" si="26"/>
        <v>0</v>
      </c>
      <c r="K256" s="167">
        <f t="shared" si="27"/>
        <v>0</v>
      </c>
    </row>
    <row r="257" spans="2:11">
      <c r="B257" s="162" t="s">
        <v>1008</v>
      </c>
      <c r="C257" s="163" t="s">
        <v>1890</v>
      </c>
      <c r="D257" s="165" t="s">
        <v>1606</v>
      </c>
      <c r="E257" s="164" t="s">
        <v>1873</v>
      </c>
      <c r="F257" s="165">
        <v>50</v>
      </c>
      <c r="G257" s="166">
        <f t="shared" si="25"/>
        <v>0</v>
      </c>
      <c r="H257" s="167">
        <f t="shared" si="22"/>
        <v>0</v>
      </c>
      <c r="I257" s="168">
        <v>0.08</v>
      </c>
      <c r="J257" s="167">
        <f t="shared" si="26"/>
        <v>0</v>
      </c>
      <c r="K257" s="167">
        <f t="shared" si="27"/>
        <v>0</v>
      </c>
    </row>
    <row r="258" spans="2:11">
      <c r="B258" s="162" t="s">
        <v>1012</v>
      </c>
      <c r="C258" s="163" t="s">
        <v>1891</v>
      </c>
      <c r="D258" s="165" t="s">
        <v>1606</v>
      </c>
      <c r="E258" s="164" t="s">
        <v>1873</v>
      </c>
      <c r="F258" s="165">
        <v>50</v>
      </c>
      <c r="G258" s="166">
        <f t="shared" si="25"/>
        <v>0</v>
      </c>
      <c r="H258" s="167">
        <f t="shared" si="22"/>
        <v>0</v>
      </c>
      <c r="I258" s="168">
        <v>0.08</v>
      </c>
      <c r="J258" s="167">
        <f t="shared" si="26"/>
        <v>0</v>
      </c>
      <c r="K258" s="167">
        <f t="shared" si="27"/>
        <v>0</v>
      </c>
    </row>
    <row r="259" spans="2:11">
      <c r="B259" s="162" t="s">
        <v>1014</v>
      </c>
      <c r="C259" s="163" t="s">
        <v>1892</v>
      </c>
      <c r="D259" s="165" t="s">
        <v>1606</v>
      </c>
      <c r="E259" s="164" t="s">
        <v>1873</v>
      </c>
      <c r="F259" s="165">
        <v>50</v>
      </c>
      <c r="G259" s="166">
        <f t="shared" si="25"/>
        <v>0</v>
      </c>
      <c r="H259" s="167">
        <f t="shared" si="22"/>
        <v>0</v>
      </c>
      <c r="I259" s="168">
        <v>0.08</v>
      </c>
      <c r="J259" s="167">
        <f t="shared" si="26"/>
        <v>0</v>
      </c>
      <c r="K259" s="167">
        <f t="shared" si="27"/>
        <v>0</v>
      </c>
    </row>
    <row r="260" spans="2:11">
      <c r="B260" s="162" t="s">
        <v>1018</v>
      </c>
      <c r="C260" s="163" t="s">
        <v>1893</v>
      </c>
      <c r="D260" s="165" t="s">
        <v>1606</v>
      </c>
      <c r="E260" s="164" t="s">
        <v>1873</v>
      </c>
      <c r="F260" s="165">
        <v>50</v>
      </c>
      <c r="G260" s="166">
        <f t="shared" si="25"/>
        <v>0</v>
      </c>
      <c r="H260" s="167">
        <f t="shared" si="22"/>
        <v>0</v>
      </c>
      <c r="I260" s="168">
        <v>0.08</v>
      </c>
      <c r="J260" s="167">
        <f t="shared" si="26"/>
        <v>0</v>
      </c>
      <c r="K260" s="167">
        <f t="shared" si="27"/>
        <v>0</v>
      </c>
    </row>
    <row r="261" spans="2:11" ht="25.5">
      <c r="B261" s="162" t="s">
        <v>1021</v>
      </c>
      <c r="C261" s="163" t="s">
        <v>1894</v>
      </c>
      <c r="D261" s="165" t="s">
        <v>1606</v>
      </c>
      <c r="E261" s="164" t="s">
        <v>1873</v>
      </c>
      <c r="F261" s="165">
        <v>60</v>
      </c>
      <c r="G261" s="166">
        <f t="shared" si="25"/>
        <v>0</v>
      </c>
      <c r="H261" s="167">
        <f t="shared" si="22"/>
        <v>0</v>
      </c>
      <c r="I261" s="168">
        <v>0.08</v>
      </c>
      <c r="J261" s="167">
        <f t="shared" si="26"/>
        <v>0</v>
      </c>
      <c r="K261" s="167">
        <f t="shared" si="27"/>
        <v>0</v>
      </c>
    </row>
    <row r="262" spans="2:11">
      <c r="B262" s="162" t="s">
        <v>1024</v>
      </c>
      <c r="C262" s="163" t="s">
        <v>1895</v>
      </c>
      <c r="D262" s="165" t="s">
        <v>1606</v>
      </c>
      <c r="E262" s="164" t="s">
        <v>1873</v>
      </c>
      <c r="F262" s="165">
        <v>40</v>
      </c>
      <c r="G262" s="166">
        <f t="shared" si="25"/>
        <v>0</v>
      </c>
      <c r="H262" s="167">
        <f t="shared" si="22"/>
        <v>0</v>
      </c>
      <c r="I262" s="168">
        <v>0.08</v>
      </c>
      <c r="J262" s="167">
        <f t="shared" si="26"/>
        <v>0</v>
      </c>
      <c r="K262" s="167">
        <f t="shared" si="27"/>
        <v>0</v>
      </c>
    </row>
    <row r="263" spans="2:11">
      <c r="B263" s="162" t="s">
        <v>1028</v>
      </c>
      <c r="C263" s="163" t="s">
        <v>1896</v>
      </c>
      <c r="D263" s="165" t="s">
        <v>1606</v>
      </c>
      <c r="E263" s="164" t="s">
        <v>1873</v>
      </c>
      <c r="F263" s="165">
        <v>40</v>
      </c>
      <c r="G263" s="166">
        <f t="shared" si="25"/>
        <v>0</v>
      </c>
      <c r="H263" s="167">
        <f t="shared" si="22"/>
        <v>0</v>
      </c>
      <c r="I263" s="168">
        <v>0.08</v>
      </c>
      <c r="J263" s="167">
        <f t="shared" si="26"/>
        <v>0</v>
      </c>
      <c r="K263" s="167">
        <f t="shared" si="27"/>
        <v>0</v>
      </c>
    </row>
    <row r="264" spans="2:11">
      <c r="B264" s="162" t="s">
        <v>1030</v>
      </c>
      <c r="C264" s="163" t="s">
        <v>1897</v>
      </c>
      <c r="D264" s="165" t="s">
        <v>1606</v>
      </c>
      <c r="E264" s="164" t="s">
        <v>1617</v>
      </c>
      <c r="F264" s="165">
        <v>40</v>
      </c>
      <c r="G264" s="166">
        <f t="shared" si="25"/>
        <v>0</v>
      </c>
      <c r="H264" s="167">
        <f t="shared" si="22"/>
        <v>0</v>
      </c>
      <c r="I264" s="168">
        <v>0.08</v>
      </c>
      <c r="J264" s="167">
        <f t="shared" si="26"/>
        <v>0</v>
      </c>
      <c r="K264" s="167">
        <f t="shared" si="27"/>
        <v>0</v>
      </c>
    </row>
    <row r="265" spans="2:11">
      <c r="B265" s="162" t="s">
        <v>1033</v>
      </c>
      <c r="C265" s="163" t="s">
        <v>1898</v>
      </c>
      <c r="D265" s="165" t="s">
        <v>1606</v>
      </c>
      <c r="E265" s="164" t="s">
        <v>1873</v>
      </c>
      <c r="F265" s="165">
        <v>40</v>
      </c>
      <c r="G265" s="166">
        <f t="shared" si="25"/>
        <v>0</v>
      </c>
      <c r="H265" s="167">
        <f t="shared" si="22"/>
        <v>0</v>
      </c>
      <c r="I265" s="168">
        <v>0.08</v>
      </c>
      <c r="J265" s="167">
        <f t="shared" si="26"/>
        <v>0</v>
      </c>
      <c r="K265" s="167">
        <f t="shared" si="27"/>
        <v>0</v>
      </c>
    </row>
    <row r="266" spans="2:11">
      <c r="B266" s="162" t="s">
        <v>1034</v>
      </c>
      <c r="C266" s="170" t="s">
        <v>1899</v>
      </c>
      <c r="D266" s="164" t="s">
        <v>1606</v>
      </c>
      <c r="E266" s="171" t="s">
        <v>1873</v>
      </c>
      <c r="F266" s="172">
        <v>50</v>
      </c>
      <c r="G266" s="166">
        <f t="shared" si="25"/>
        <v>0</v>
      </c>
      <c r="H266" s="167">
        <f t="shared" si="22"/>
        <v>0</v>
      </c>
      <c r="I266" s="173">
        <v>0.23</v>
      </c>
      <c r="J266" s="174">
        <f t="shared" si="26"/>
        <v>0</v>
      </c>
      <c r="K266" s="174">
        <f t="shared" si="27"/>
        <v>0</v>
      </c>
    </row>
    <row r="267" spans="2:11">
      <c r="B267" s="162" t="s">
        <v>1036</v>
      </c>
      <c r="C267" s="170" t="s">
        <v>1900</v>
      </c>
      <c r="D267" s="164" t="s">
        <v>1606</v>
      </c>
      <c r="E267" s="171" t="s">
        <v>1873</v>
      </c>
      <c r="F267" s="172">
        <v>50</v>
      </c>
      <c r="G267" s="166">
        <f t="shared" si="25"/>
        <v>0</v>
      </c>
      <c r="H267" s="167">
        <f t="shared" si="22"/>
        <v>0</v>
      </c>
      <c r="I267" s="173">
        <v>0.23</v>
      </c>
      <c r="J267" s="174">
        <f t="shared" si="26"/>
        <v>0</v>
      </c>
      <c r="K267" s="174">
        <f t="shared" si="27"/>
        <v>0</v>
      </c>
    </row>
    <row r="268" spans="2:11">
      <c r="B268" s="162" t="s">
        <v>1040</v>
      </c>
      <c r="C268" s="163" t="s">
        <v>1901</v>
      </c>
      <c r="D268" s="164" t="s">
        <v>1606</v>
      </c>
      <c r="E268" s="164" t="s">
        <v>1873</v>
      </c>
      <c r="F268" s="165">
        <v>5</v>
      </c>
      <c r="G268" s="166">
        <f t="shared" si="25"/>
        <v>0</v>
      </c>
      <c r="H268" s="167">
        <f t="shared" ref="H268:H294" si="28">G268*F268</f>
        <v>0</v>
      </c>
      <c r="I268" s="168">
        <v>0.23</v>
      </c>
      <c r="J268" s="167">
        <f t="shared" si="26"/>
        <v>0</v>
      </c>
      <c r="K268" s="167">
        <f t="shared" si="27"/>
        <v>0</v>
      </c>
    </row>
    <row r="269" spans="2:11">
      <c r="B269" s="162" t="s">
        <v>1044</v>
      </c>
      <c r="C269" s="163" t="s">
        <v>1902</v>
      </c>
      <c r="D269" s="164" t="s">
        <v>1606</v>
      </c>
      <c r="E269" s="164" t="s">
        <v>1617</v>
      </c>
      <c r="F269" s="165">
        <v>5</v>
      </c>
      <c r="G269" s="166">
        <f t="shared" si="25"/>
        <v>0</v>
      </c>
      <c r="H269" s="167">
        <f t="shared" si="28"/>
        <v>0</v>
      </c>
      <c r="I269" s="168">
        <v>0.23</v>
      </c>
      <c r="J269" s="167">
        <f t="shared" si="26"/>
        <v>0</v>
      </c>
      <c r="K269" s="167">
        <f t="shared" si="27"/>
        <v>0</v>
      </c>
    </row>
    <row r="270" spans="2:11">
      <c r="B270" s="162" t="s">
        <v>1048</v>
      </c>
      <c r="C270" s="163" t="s">
        <v>1903</v>
      </c>
      <c r="D270" s="164" t="s">
        <v>1606</v>
      </c>
      <c r="E270" s="164" t="s">
        <v>1856</v>
      </c>
      <c r="F270" s="165">
        <v>2</v>
      </c>
      <c r="G270" s="166">
        <f>ROUND(S270*1.06,2)</f>
        <v>0</v>
      </c>
      <c r="H270" s="167">
        <f t="shared" si="28"/>
        <v>0</v>
      </c>
      <c r="I270" s="168">
        <v>0.08</v>
      </c>
      <c r="J270" s="167">
        <f t="shared" si="26"/>
        <v>0</v>
      </c>
      <c r="K270" s="167">
        <f t="shared" si="27"/>
        <v>0</v>
      </c>
    </row>
    <row r="271" spans="2:11">
      <c r="B271" s="162" t="s">
        <v>1052</v>
      </c>
      <c r="C271" s="163" t="s">
        <v>1904</v>
      </c>
      <c r="D271" s="164" t="s">
        <v>1606</v>
      </c>
      <c r="E271" s="164" t="s">
        <v>1905</v>
      </c>
      <c r="F271" s="165">
        <v>2</v>
      </c>
      <c r="G271" s="166">
        <f t="shared" ref="G271:G273" si="29">ROUND(S271*1.06,2)</f>
        <v>0</v>
      </c>
      <c r="H271" s="167">
        <f t="shared" si="28"/>
        <v>0</v>
      </c>
      <c r="I271" s="168">
        <v>0.08</v>
      </c>
      <c r="J271" s="167">
        <f t="shared" si="26"/>
        <v>0</v>
      </c>
      <c r="K271" s="167">
        <f t="shared" si="27"/>
        <v>0</v>
      </c>
    </row>
    <row r="272" spans="2:11">
      <c r="B272" s="162" t="s">
        <v>1058</v>
      </c>
      <c r="C272" s="163" t="s">
        <v>1906</v>
      </c>
      <c r="D272" s="164" t="s">
        <v>1606</v>
      </c>
      <c r="E272" s="164" t="s">
        <v>1905</v>
      </c>
      <c r="F272" s="165">
        <v>2</v>
      </c>
      <c r="G272" s="166">
        <f t="shared" si="29"/>
        <v>0</v>
      </c>
      <c r="H272" s="167">
        <f t="shared" si="28"/>
        <v>0</v>
      </c>
      <c r="I272" s="168">
        <v>0.08</v>
      </c>
      <c r="J272" s="167">
        <f t="shared" si="26"/>
        <v>0</v>
      </c>
      <c r="K272" s="167">
        <f t="shared" si="27"/>
        <v>0</v>
      </c>
    </row>
    <row r="273" spans="2:11">
      <c r="B273" s="162" t="s">
        <v>1061</v>
      </c>
      <c r="C273" s="163" t="s">
        <v>1907</v>
      </c>
      <c r="D273" s="164" t="s">
        <v>1606</v>
      </c>
      <c r="E273" s="164" t="s">
        <v>1908</v>
      </c>
      <c r="F273" s="165">
        <v>2</v>
      </c>
      <c r="G273" s="166">
        <f t="shared" si="29"/>
        <v>0</v>
      </c>
      <c r="H273" s="167">
        <f t="shared" si="28"/>
        <v>0</v>
      </c>
      <c r="I273" s="168">
        <v>0.08</v>
      </c>
      <c r="J273" s="167">
        <f t="shared" si="26"/>
        <v>0</v>
      </c>
      <c r="K273" s="167">
        <f t="shared" si="27"/>
        <v>0</v>
      </c>
    </row>
    <row r="274" spans="2:11">
      <c r="B274" s="175" t="s">
        <v>1066</v>
      </c>
      <c r="C274" s="170" t="s">
        <v>1909</v>
      </c>
      <c r="D274" s="165" t="s">
        <v>1606</v>
      </c>
      <c r="E274" s="164" t="s">
        <v>708</v>
      </c>
      <c r="F274" s="165">
        <v>2</v>
      </c>
      <c r="G274" s="166">
        <f>ROUND(S274*1.07,2)</f>
        <v>0</v>
      </c>
      <c r="H274" s="167">
        <f t="shared" si="28"/>
        <v>0</v>
      </c>
      <c r="I274" s="173">
        <v>0.23</v>
      </c>
      <c r="J274" s="174">
        <f t="shared" si="26"/>
        <v>0</v>
      </c>
      <c r="K274" s="174">
        <f t="shared" si="27"/>
        <v>0</v>
      </c>
    </row>
    <row r="275" spans="2:11">
      <c r="B275" s="175" t="s">
        <v>1071</v>
      </c>
      <c r="C275" s="170" t="s">
        <v>1910</v>
      </c>
      <c r="D275" s="165" t="s">
        <v>1606</v>
      </c>
      <c r="E275" s="164" t="s">
        <v>708</v>
      </c>
      <c r="F275" s="165">
        <v>2</v>
      </c>
      <c r="G275" s="166">
        <f>ROUND(S275*1.07,2)</f>
        <v>0</v>
      </c>
      <c r="H275" s="167">
        <f t="shared" si="28"/>
        <v>0</v>
      </c>
      <c r="I275" s="173">
        <v>0.23</v>
      </c>
      <c r="J275" s="174">
        <f t="shared" si="26"/>
        <v>0</v>
      </c>
      <c r="K275" s="174">
        <f t="shared" si="27"/>
        <v>0</v>
      </c>
    </row>
    <row r="276" spans="2:11" ht="25.5">
      <c r="B276" s="175" t="s">
        <v>1072</v>
      </c>
      <c r="C276" s="170" t="s">
        <v>1911</v>
      </c>
      <c r="D276" s="165" t="s">
        <v>1606</v>
      </c>
      <c r="E276" s="164" t="s">
        <v>708</v>
      </c>
      <c r="F276" s="165">
        <v>1</v>
      </c>
      <c r="G276" s="166">
        <f>ROUND(S276*1.03,2)</f>
        <v>0</v>
      </c>
      <c r="H276" s="167">
        <f t="shared" si="28"/>
        <v>0</v>
      </c>
      <c r="I276" s="173">
        <v>0.23</v>
      </c>
      <c r="J276" s="174">
        <f t="shared" si="26"/>
        <v>0</v>
      </c>
      <c r="K276" s="174">
        <f t="shared" si="27"/>
        <v>0</v>
      </c>
    </row>
    <row r="277" spans="2:11" ht="25.5">
      <c r="B277" s="175" t="s">
        <v>1075</v>
      </c>
      <c r="C277" s="170" t="s">
        <v>1912</v>
      </c>
      <c r="D277" s="165" t="s">
        <v>1606</v>
      </c>
      <c r="E277" s="164" t="s">
        <v>708</v>
      </c>
      <c r="F277" s="165">
        <v>1</v>
      </c>
      <c r="G277" s="166">
        <f t="shared" ref="G277:G278" si="30">ROUND(S277*1.03,2)</f>
        <v>0</v>
      </c>
      <c r="H277" s="167">
        <f t="shared" si="28"/>
        <v>0</v>
      </c>
      <c r="I277" s="173">
        <v>0.23</v>
      </c>
      <c r="J277" s="174">
        <f t="shared" si="26"/>
        <v>0</v>
      </c>
      <c r="K277" s="174">
        <f t="shared" si="27"/>
        <v>0</v>
      </c>
    </row>
    <row r="278" spans="2:11" ht="25.5">
      <c r="B278" s="175" t="s">
        <v>1080</v>
      </c>
      <c r="C278" s="170" t="s">
        <v>1913</v>
      </c>
      <c r="D278" s="165" t="s">
        <v>1606</v>
      </c>
      <c r="E278" s="164" t="s">
        <v>708</v>
      </c>
      <c r="F278" s="165">
        <v>1</v>
      </c>
      <c r="G278" s="166">
        <f t="shared" si="30"/>
        <v>0</v>
      </c>
      <c r="H278" s="167">
        <f t="shared" si="28"/>
        <v>0</v>
      </c>
      <c r="I278" s="173">
        <v>0.23</v>
      </c>
      <c r="J278" s="174">
        <f t="shared" si="26"/>
        <v>0</v>
      </c>
      <c r="K278" s="174">
        <f t="shared" si="27"/>
        <v>0</v>
      </c>
    </row>
    <row r="279" spans="2:11">
      <c r="B279" s="175" t="s">
        <v>1084</v>
      </c>
      <c r="C279" s="170" t="s">
        <v>1914</v>
      </c>
      <c r="D279" s="181" t="s">
        <v>1606</v>
      </c>
      <c r="E279" s="180" t="s">
        <v>1624</v>
      </c>
      <c r="F279" s="181">
        <v>2</v>
      </c>
      <c r="G279" s="182">
        <f>ROUND(S279*1.05,2)</f>
        <v>0</v>
      </c>
      <c r="H279" s="167">
        <f t="shared" si="28"/>
        <v>0</v>
      </c>
      <c r="I279" s="173">
        <v>0.23</v>
      </c>
      <c r="J279" s="174">
        <f t="shared" si="26"/>
        <v>0</v>
      </c>
      <c r="K279" s="174">
        <f t="shared" si="27"/>
        <v>0</v>
      </c>
    </row>
    <row r="280" spans="2:11">
      <c r="B280" s="162" t="s">
        <v>1088</v>
      </c>
      <c r="C280" s="202" t="s">
        <v>1915</v>
      </c>
      <c r="D280" s="172" t="s">
        <v>1606</v>
      </c>
      <c r="E280" s="171" t="s">
        <v>1637</v>
      </c>
      <c r="F280" s="172">
        <v>2</v>
      </c>
      <c r="G280" s="166">
        <f t="shared" si="25"/>
        <v>0</v>
      </c>
      <c r="H280" s="167">
        <f t="shared" si="28"/>
        <v>0</v>
      </c>
      <c r="I280" s="184">
        <v>0.23</v>
      </c>
      <c r="J280" s="174">
        <f t="shared" si="26"/>
        <v>0</v>
      </c>
      <c r="K280" s="174">
        <f t="shared" si="27"/>
        <v>0</v>
      </c>
    </row>
    <row r="281" spans="2:11">
      <c r="B281" s="162" t="s">
        <v>1090</v>
      </c>
      <c r="C281" s="202" t="s">
        <v>1916</v>
      </c>
      <c r="D281" s="172" t="s">
        <v>1606</v>
      </c>
      <c r="E281" s="171" t="s">
        <v>1637</v>
      </c>
      <c r="F281" s="172">
        <v>2</v>
      </c>
      <c r="G281" s="166">
        <f t="shared" si="25"/>
        <v>0</v>
      </c>
      <c r="H281" s="167">
        <f t="shared" si="28"/>
        <v>0</v>
      </c>
      <c r="I281" s="184">
        <v>0.23</v>
      </c>
      <c r="J281" s="174">
        <f>K281-H281</f>
        <v>0</v>
      </c>
      <c r="K281" s="174">
        <f>H281+H281*I281</f>
        <v>0</v>
      </c>
    </row>
    <row r="282" spans="2:11">
      <c r="B282" s="162" t="s">
        <v>1094</v>
      </c>
      <c r="C282" s="202" t="s">
        <v>1917</v>
      </c>
      <c r="D282" s="172" t="s">
        <v>1606</v>
      </c>
      <c r="E282" s="171" t="s">
        <v>1637</v>
      </c>
      <c r="F282" s="172">
        <v>2</v>
      </c>
      <c r="G282" s="166">
        <f t="shared" si="25"/>
        <v>0</v>
      </c>
      <c r="H282" s="167">
        <f t="shared" si="28"/>
        <v>0</v>
      </c>
      <c r="I282" s="184">
        <v>0.23</v>
      </c>
      <c r="J282" s="174">
        <f>K282-H282</f>
        <v>0</v>
      </c>
      <c r="K282" s="174">
        <f>H282+H282*I282</f>
        <v>0</v>
      </c>
    </row>
    <row r="283" spans="2:11">
      <c r="B283" s="162" t="s">
        <v>1097</v>
      </c>
      <c r="C283" s="202" t="s">
        <v>1918</v>
      </c>
      <c r="D283" s="172" t="s">
        <v>1606</v>
      </c>
      <c r="E283" s="171" t="s">
        <v>1637</v>
      </c>
      <c r="F283" s="172">
        <v>2</v>
      </c>
      <c r="G283" s="166">
        <f t="shared" si="25"/>
        <v>0</v>
      </c>
      <c r="H283" s="167">
        <f t="shared" si="28"/>
        <v>0</v>
      </c>
      <c r="I283" s="184">
        <v>0.23</v>
      </c>
      <c r="J283" s="174">
        <f t="shared" si="26"/>
        <v>0</v>
      </c>
      <c r="K283" s="174">
        <f t="shared" si="27"/>
        <v>0</v>
      </c>
    </row>
    <row r="284" spans="2:11">
      <c r="B284" s="162" t="s">
        <v>1101</v>
      </c>
      <c r="C284" s="202" t="s">
        <v>1919</v>
      </c>
      <c r="D284" s="172" t="s">
        <v>1606</v>
      </c>
      <c r="E284" s="171" t="s">
        <v>1637</v>
      </c>
      <c r="F284" s="172">
        <v>1</v>
      </c>
      <c r="G284" s="166">
        <f t="shared" si="25"/>
        <v>0</v>
      </c>
      <c r="H284" s="167">
        <f t="shared" si="28"/>
        <v>0</v>
      </c>
      <c r="I284" s="184">
        <v>0.08</v>
      </c>
      <c r="J284" s="174">
        <f t="shared" si="26"/>
        <v>0</v>
      </c>
      <c r="K284" s="174">
        <f t="shared" si="27"/>
        <v>0</v>
      </c>
    </row>
    <row r="285" spans="2:11">
      <c r="B285" s="162" t="s">
        <v>1105</v>
      </c>
      <c r="C285" s="202" t="s">
        <v>1920</v>
      </c>
      <c r="D285" s="172" t="s">
        <v>1606</v>
      </c>
      <c r="E285" s="171" t="s">
        <v>1637</v>
      </c>
      <c r="F285" s="172">
        <v>1</v>
      </c>
      <c r="G285" s="166">
        <f t="shared" si="25"/>
        <v>0</v>
      </c>
      <c r="H285" s="167">
        <f t="shared" si="28"/>
        <v>0</v>
      </c>
      <c r="I285" s="184">
        <v>0.08</v>
      </c>
      <c r="J285" s="174">
        <f t="shared" si="26"/>
        <v>0</v>
      </c>
      <c r="K285" s="174">
        <f t="shared" si="27"/>
        <v>0</v>
      </c>
    </row>
    <row r="286" spans="2:11">
      <c r="B286" s="162" t="s">
        <v>1109</v>
      </c>
      <c r="C286" s="202" t="s">
        <v>1921</v>
      </c>
      <c r="D286" s="172" t="s">
        <v>1606</v>
      </c>
      <c r="E286" s="171" t="s">
        <v>1637</v>
      </c>
      <c r="F286" s="172">
        <v>1</v>
      </c>
      <c r="G286" s="166">
        <f t="shared" si="25"/>
        <v>0</v>
      </c>
      <c r="H286" s="167">
        <f t="shared" si="28"/>
        <v>0</v>
      </c>
      <c r="I286" s="184">
        <v>0.23</v>
      </c>
      <c r="J286" s="174">
        <f t="shared" si="26"/>
        <v>0</v>
      </c>
      <c r="K286" s="174">
        <f t="shared" si="27"/>
        <v>0</v>
      </c>
    </row>
    <row r="287" spans="2:11" ht="25.5">
      <c r="B287" s="162" t="s">
        <v>1113</v>
      </c>
      <c r="C287" s="170" t="s">
        <v>1922</v>
      </c>
      <c r="D287" s="172" t="s">
        <v>1606</v>
      </c>
      <c r="E287" s="171" t="s">
        <v>1624</v>
      </c>
      <c r="F287" s="172">
        <v>2</v>
      </c>
      <c r="G287" s="166">
        <f t="shared" si="25"/>
        <v>0</v>
      </c>
      <c r="H287" s="167">
        <f t="shared" si="28"/>
        <v>0</v>
      </c>
      <c r="I287" s="173">
        <v>0.08</v>
      </c>
      <c r="J287" s="174">
        <f t="shared" si="26"/>
        <v>0</v>
      </c>
      <c r="K287" s="174">
        <f t="shared" si="27"/>
        <v>0</v>
      </c>
    </row>
    <row r="288" spans="2:11" ht="25.5">
      <c r="B288" s="162" t="s">
        <v>1117</v>
      </c>
      <c r="C288" s="170" t="s">
        <v>1923</v>
      </c>
      <c r="D288" s="172" t="s">
        <v>1606</v>
      </c>
      <c r="E288" s="171" t="s">
        <v>1624</v>
      </c>
      <c r="F288" s="172">
        <v>2</v>
      </c>
      <c r="G288" s="166">
        <f t="shared" si="25"/>
        <v>0</v>
      </c>
      <c r="H288" s="167">
        <f t="shared" si="28"/>
        <v>0</v>
      </c>
      <c r="I288" s="173">
        <v>0.08</v>
      </c>
      <c r="J288" s="174">
        <f t="shared" si="26"/>
        <v>0</v>
      </c>
      <c r="K288" s="174">
        <f t="shared" si="27"/>
        <v>0</v>
      </c>
    </row>
    <row r="289" spans="2:11" ht="25.5">
      <c r="B289" s="162" t="s">
        <v>1121</v>
      </c>
      <c r="C289" s="170" t="s">
        <v>1924</v>
      </c>
      <c r="D289" s="172" t="s">
        <v>1606</v>
      </c>
      <c r="E289" s="171" t="s">
        <v>1624</v>
      </c>
      <c r="F289" s="172">
        <v>2</v>
      </c>
      <c r="G289" s="166">
        <f t="shared" si="25"/>
        <v>0</v>
      </c>
      <c r="H289" s="167">
        <f t="shared" si="28"/>
        <v>0</v>
      </c>
      <c r="I289" s="173">
        <v>0.08</v>
      </c>
      <c r="J289" s="174">
        <f t="shared" si="26"/>
        <v>0</v>
      </c>
      <c r="K289" s="174">
        <f t="shared" si="27"/>
        <v>0</v>
      </c>
    </row>
    <row r="290" spans="2:11">
      <c r="B290" s="162" t="s">
        <v>1124</v>
      </c>
      <c r="C290" s="203" t="s">
        <v>1925</v>
      </c>
      <c r="D290" s="172" t="s">
        <v>1606</v>
      </c>
      <c r="E290" s="171" t="s">
        <v>1624</v>
      </c>
      <c r="F290" s="172">
        <v>2</v>
      </c>
      <c r="G290" s="166">
        <f t="shared" si="25"/>
        <v>0</v>
      </c>
      <c r="H290" s="167">
        <f t="shared" si="28"/>
        <v>0</v>
      </c>
      <c r="I290" s="204">
        <v>0.08</v>
      </c>
      <c r="J290" s="174">
        <f t="shared" si="26"/>
        <v>0</v>
      </c>
      <c r="K290" s="174">
        <f t="shared" si="27"/>
        <v>0</v>
      </c>
    </row>
    <row r="291" spans="2:11" ht="26.25">
      <c r="B291" s="162" t="s">
        <v>1128</v>
      </c>
      <c r="C291" s="205" t="s">
        <v>1926</v>
      </c>
      <c r="D291" s="172" t="s">
        <v>1606</v>
      </c>
      <c r="E291" s="171" t="s">
        <v>1927</v>
      </c>
      <c r="F291" s="172">
        <v>1</v>
      </c>
      <c r="G291" s="166">
        <f t="shared" si="25"/>
        <v>0</v>
      </c>
      <c r="H291" s="167">
        <f t="shared" si="28"/>
        <v>0</v>
      </c>
      <c r="I291" s="204">
        <v>0.08</v>
      </c>
      <c r="J291" s="174">
        <f t="shared" si="26"/>
        <v>0</v>
      </c>
      <c r="K291" s="174">
        <f t="shared" si="27"/>
        <v>0</v>
      </c>
    </row>
    <row r="292" spans="2:11" ht="26.25">
      <c r="B292" s="162" t="s">
        <v>1131</v>
      </c>
      <c r="C292" s="205" t="s">
        <v>1928</v>
      </c>
      <c r="D292" s="172" t="s">
        <v>1606</v>
      </c>
      <c r="E292" s="171" t="s">
        <v>1927</v>
      </c>
      <c r="F292" s="172">
        <v>1</v>
      </c>
      <c r="G292" s="166">
        <f t="shared" si="25"/>
        <v>0</v>
      </c>
      <c r="H292" s="167">
        <f t="shared" si="28"/>
        <v>0</v>
      </c>
      <c r="I292" s="204">
        <v>0.08</v>
      </c>
      <c r="J292" s="174">
        <f t="shared" si="26"/>
        <v>0</v>
      </c>
      <c r="K292" s="174">
        <f t="shared" si="27"/>
        <v>0</v>
      </c>
    </row>
    <row r="293" spans="2:11" ht="26.25">
      <c r="B293" s="162" t="s">
        <v>1135</v>
      </c>
      <c r="C293" s="205" t="s">
        <v>1929</v>
      </c>
      <c r="D293" s="172" t="s">
        <v>1606</v>
      </c>
      <c r="E293" s="171" t="s">
        <v>1927</v>
      </c>
      <c r="F293" s="172">
        <v>1</v>
      </c>
      <c r="G293" s="166">
        <f t="shared" si="25"/>
        <v>0</v>
      </c>
      <c r="H293" s="167">
        <f t="shared" si="28"/>
        <v>0</v>
      </c>
      <c r="I293" s="204">
        <v>0.08</v>
      </c>
      <c r="J293" s="174">
        <f t="shared" si="26"/>
        <v>0</v>
      </c>
      <c r="K293" s="174">
        <f t="shared" si="27"/>
        <v>0</v>
      </c>
    </row>
    <row r="294" spans="2:11">
      <c r="B294" s="162" t="s">
        <v>1138</v>
      </c>
      <c r="C294" s="206" t="s">
        <v>1930</v>
      </c>
      <c r="D294" s="172" t="s">
        <v>1606</v>
      </c>
      <c r="E294" s="171" t="s">
        <v>1927</v>
      </c>
      <c r="F294" s="172">
        <v>1</v>
      </c>
      <c r="G294" s="166">
        <f t="shared" si="25"/>
        <v>0</v>
      </c>
      <c r="H294" s="167">
        <f t="shared" si="28"/>
        <v>0</v>
      </c>
      <c r="I294" s="204">
        <v>0.08</v>
      </c>
      <c r="J294" s="174">
        <f t="shared" si="26"/>
        <v>0</v>
      </c>
      <c r="K294" s="174">
        <f t="shared" si="27"/>
        <v>0</v>
      </c>
    </row>
  </sheetData>
  <mergeCells count="12">
    <mergeCell ref="K9:K10"/>
    <mergeCell ref="D10:E10"/>
    <mergeCell ref="B5:K5"/>
    <mergeCell ref="B7:K7"/>
    <mergeCell ref="D8:E8"/>
    <mergeCell ref="I8:J8"/>
    <mergeCell ref="B9:B10"/>
    <mergeCell ref="C9:C10"/>
    <mergeCell ref="D9:E9"/>
    <mergeCell ref="F9:F10"/>
    <mergeCell ref="H9:H10"/>
    <mergeCell ref="I9:J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O217"/>
  <sheetViews>
    <sheetView topLeftCell="A4" workbookViewId="0">
      <selection activeCell="AW9" sqref="AW9"/>
    </sheetView>
  </sheetViews>
  <sheetFormatPr defaultRowHeight="15"/>
  <cols>
    <col min="1" max="1" width="11.85546875" customWidth="1"/>
    <col min="2" max="2" width="6.28515625" customWidth="1"/>
    <col min="3" max="3" width="22.42578125" customWidth="1"/>
    <col min="4" max="4" width="17.5703125" customWidth="1"/>
    <col min="5" max="5" width="14.28515625" customWidth="1"/>
    <col min="6" max="6" width="8.7109375" customWidth="1"/>
    <col min="8" max="8" width="9.140625" style="210"/>
    <col min="9" max="9" width="10.140625" style="210" customWidth="1"/>
    <col min="10" max="10" width="11.140625" style="210" customWidth="1"/>
    <col min="11" max="11" width="7.5703125" customWidth="1"/>
    <col min="12" max="12" width="10" style="210" customWidth="1"/>
    <col min="13" max="13" width="3.42578125" style="210" hidden="1" customWidth="1"/>
    <col min="14" max="14" width="15" style="210" hidden="1" customWidth="1"/>
    <col min="15" max="15" width="11.7109375" style="211" hidden="1" customWidth="1"/>
    <col min="16" max="16" width="15.7109375" style="212" hidden="1" customWidth="1"/>
    <col min="17" max="17" width="18.42578125" style="211" hidden="1" customWidth="1"/>
    <col min="18" max="18" width="22.7109375" style="211" hidden="1" customWidth="1"/>
    <col min="19" max="19" width="29.7109375" style="210" hidden="1" customWidth="1"/>
    <col min="20" max="23" width="10" style="210" hidden="1" customWidth="1"/>
    <col min="24" max="24" width="14" hidden="1" customWidth="1"/>
    <col min="25" max="25" width="10" style="5" hidden="1" customWidth="1"/>
    <col min="26" max="26" width="10" style="213" hidden="1" customWidth="1"/>
    <col min="27" max="27" width="5.140625" hidden="1" customWidth="1"/>
    <col min="28" max="28" width="5.42578125" hidden="1" customWidth="1"/>
    <col min="29" max="30" width="9.140625" hidden="1" customWidth="1"/>
    <col min="31" max="31" width="20.140625" hidden="1" customWidth="1"/>
    <col min="32" max="32" width="25.85546875" hidden="1" customWidth="1"/>
    <col min="33" max="33" width="6" hidden="1" customWidth="1"/>
    <col min="34" max="34" width="15.140625" hidden="1" customWidth="1"/>
    <col min="35" max="35" width="11.7109375" hidden="1" customWidth="1"/>
    <col min="36" max="36" width="13.28515625" hidden="1" customWidth="1"/>
    <col min="37" max="38" width="9.140625" hidden="1" customWidth="1"/>
    <col min="39" max="45" width="0" hidden="1" customWidth="1"/>
  </cols>
  <sheetData>
    <row r="5" spans="2:41">
      <c r="B5" s="207"/>
      <c r="C5" s="207"/>
      <c r="D5" s="208"/>
      <c r="E5" s="208"/>
      <c r="F5" s="208"/>
      <c r="G5" s="208"/>
      <c r="H5" s="209"/>
      <c r="I5" s="209"/>
      <c r="J5" s="209"/>
      <c r="K5" s="208"/>
      <c r="L5" s="209"/>
    </row>
    <row r="6" spans="2:41" ht="15.75">
      <c r="B6" s="214"/>
      <c r="C6" s="214"/>
      <c r="D6" s="417" t="s">
        <v>2375</v>
      </c>
      <c r="E6" s="215"/>
      <c r="F6" s="215"/>
      <c r="G6" s="215"/>
      <c r="H6" s="209"/>
      <c r="I6" s="411"/>
      <c r="J6" s="411"/>
      <c r="K6" s="411"/>
      <c r="L6" s="411"/>
      <c r="M6" s="216"/>
      <c r="N6" s="216"/>
      <c r="O6" s="217"/>
      <c r="P6" s="218"/>
      <c r="Q6" s="216"/>
      <c r="R6" s="216"/>
      <c r="S6" s="216"/>
      <c r="T6" s="216"/>
      <c r="U6" s="216"/>
      <c r="V6" s="216"/>
      <c r="W6" s="216"/>
    </row>
    <row r="7" spans="2:41">
      <c r="B7" s="215"/>
      <c r="C7" s="208"/>
      <c r="D7" s="208"/>
      <c r="E7" s="208"/>
      <c r="F7" s="208"/>
      <c r="G7" s="208"/>
      <c r="H7" s="209"/>
      <c r="I7" s="209"/>
      <c r="J7" s="209"/>
      <c r="K7" s="208"/>
      <c r="L7" s="209"/>
    </row>
    <row r="8" spans="2:41" ht="16.5" thickBot="1"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1"/>
      <c r="N8" s="221"/>
      <c r="O8" s="222"/>
      <c r="P8" s="223"/>
      <c r="Q8" s="221"/>
      <c r="R8" s="221"/>
      <c r="S8" s="221"/>
      <c r="T8" s="221"/>
      <c r="U8" s="221"/>
      <c r="V8" s="221"/>
      <c r="W8" s="221"/>
      <c r="X8" s="221"/>
      <c r="Y8" s="224"/>
      <c r="Z8" s="225"/>
    </row>
    <row r="9" spans="2:41" ht="27" customHeight="1" thickBot="1">
      <c r="B9" s="226" t="s">
        <v>1</v>
      </c>
      <c r="C9" s="227" t="s">
        <v>2</v>
      </c>
      <c r="D9" s="228" t="s">
        <v>2</v>
      </c>
      <c r="E9" s="229"/>
      <c r="F9" s="230" t="s">
        <v>2</v>
      </c>
      <c r="G9" s="231" t="s">
        <v>2</v>
      </c>
      <c r="H9" s="232" t="s">
        <v>2</v>
      </c>
      <c r="I9" s="232" t="s">
        <v>2</v>
      </c>
      <c r="J9" s="233" t="s">
        <v>2</v>
      </c>
      <c r="K9" s="234"/>
      <c r="L9" s="235" t="s">
        <v>2</v>
      </c>
      <c r="M9" s="236"/>
      <c r="N9" s="237" t="s">
        <v>43</v>
      </c>
      <c r="O9" s="238" t="s">
        <v>1931</v>
      </c>
      <c r="P9" s="239" t="s">
        <v>1932</v>
      </c>
      <c r="Q9" s="240" t="s">
        <v>1933</v>
      </c>
      <c r="R9" s="240" t="s">
        <v>1934</v>
      </c>
      <c r="S9" s="22"/>
      <c r="T9" s="22"/>
      <c r="U9" s="22"/>
      <c r="V9" s="22"/>
      <c r="W9" s="22"/>
      <c r="X9" s="241"/>
      <c r="Y9" s="242"/>
      <c r="Z9" s="243"/>
    </row>
    <row r="10" spans="2:41" ht="15.75" thickBot="1">
      <c r="B10" s="231" t="s">
        <v>3</v>
      </c>
      <c r="C10" s="231" t="s">
        <v>4</v>
      </c>
      <c r="D10" s="233" t="s">
        <v>5</v>
      </c>
      <c r="E10" s="234"/>
      <c r="F10" s="231" t="s">
        <v>6</v>
      </c>
      <c r="G10" s="244" t="s">
        <v>7</v>
      </c>
      <c r="H10" s="245" t="s">
        <v>8</v>
      </c>
      <c r="I10" s="245" t="s">
        <v>9</v>
      </c>
      <c r="J10" s="233" t="s">
        <v>10</v>
      </c>
      <c r="K10" s="234"/>
      <c r="L10" s="245" t="s">
        <v>11</v>
      </c>
      <c r="M10" s="236"/>
      <c r="N10" s="237"/>
      <c r="O10" s="246"/>
      <c r="P10" s="247"/>
      <c r="Q10" s="248"/>
      <c r="R10" s="248"/>
      <c r="S10" s="22"/>
      <c r="T10" s="22"/>
      <c r="U10" s="22"/>
      <c r="V10" s="22"/>
      <c r="W10" s="22"/>
      <c r="X10" s="241"/>
      <c r="Y10" s="242"/>
      <c r="Z10" s="243"/>
    </row>
    <row r="11" spans="2:41" ht="69" customHeight="1">
      <c r="B11" s="249" t="s">
        <v>12</v>
      </c>
      <c r="C11" s="250" t="s">
        <v>13</v>
      </c>
      <c r="D11" s="250" t="s">
        <v>14</v>
      </c>
      <c r="E11" s="250" t="s">
        <v>15</v>
      </c>
      <c r="F11" s="251"/>
      <c r="G11" s="250" t="s">
        <v>16</v>
      </c>
      <c r="H11" s="252" t="s">
        <v>17</v>
      </c>
      <c r="I11" s="253" t="s">
        <v>18</v>
      </c>
      <c r="J11" s="254" t="s">
        <v>19</v>
      </c>
      <c r="K11" s="255"/>
      <c r="L11" s="253" t="s">
        <v>20</v>
      </c>
      <c r="M11" s="256"/>
      <c r="N11" s="237"/>
      <c r="O11" s="257"/>
      <c r="P11" s="258"/>
      <c r="Q11" s="259"/>
      <c r="R11" s="259"/>
      <c r="S11" s="260"/>
      <c r="T11" s="260" t="s">
        <v>1935</v>
      </c>
      <c r="U11" s="260" t="s">
        <v>23</v>
      </c>
      <c r="V11" s="260" t="s">
        <v>1936</v>
      </c>
      <c r="W11" s="260" t="s">
        <v>1937</v>
      </c>
      <c r="X11" s="261"/>
      <c r="Y11" s="242"/>
      <c r="Z11" s="243" t="s">
        <v>1938</v>
      </c>
      <c r="AC11" s="262" t="s">
        <v>1939</v>
      </c>
      <c r="AD11" s="262" t="s">
        <v>1940</v>
      </c>
      <c r="AE11" s="263" t="s">
        <v>1941</v>
      </c>
      <c r="AF11" s="263" t="s">
        <v>1934</v>
      </c>
    </row>
    <row r="12" spans="2:41" ht="25.5">
      <c r="B12" s="264" t="s">
        <v>45</v>
      </c>
      <c r="C12" s="265" t="s">
        <v>1942</v>
      </c>
      <c r="D12" s="266" t="s">
        <v>1943</v>
      </c>
      <c r="E12" s="266">
        <v>10</v>
      </c>
      <c r="F12" s="265" t="s">
        <v>708</v>
      </c>
      <c r="G12" s="266">
        <v>2</v>
      </c>
      <c r="H12" s="267">
        <f>N12*1</f>
        <v>24.31</v>
      </c>
      <c r="I12" s="267">
        <f>H12*G12</f>
        <v>48.62</v>
      </c>
      <c r="J12" s="267">
        <f>L12-I12</f>
        <v>11.182600000000001</v>
      </c>
      <c r="K12" s="268">
        <v>0.23</v>
      </c>
      <c r="L12" s="267">
        <f>I12+I12*K12</f>
        <v>59.802599999999998</v>
      </c>
      <c r="M12" s="269"/>
      <c r="N12" s="269">
        <f>ROUND(O12*1.1,2)</f>
        <v>24.31</v>
      </c>
      <c r="O12" s="270">
        <f>P12*0.65</f>
        <v>22.1</v>
      </c>
      <c r="P12" s="271">
        <v>34</v>
      </c>
      <c r="Q12" s="272" t="s">
        <v>1943</v>
      </c>
      <c r="R12" s="272" t="s">
        <v>1944</v>
      </c>
      <c r="S12" s="269"/>
      <c r="T12" s="269"/>
      <c r="U12" s="269"/>
      <c r="V12" s="269"/>
      <c r="W12" s="269"/>
      <c r="X12" s="219"/>
      <c r="Y12" s="273">
        <v>6.47</v>
      </c>
      <c r="Z12" s="274">
        <f>AC12*1.15</f>
        <v>24.632999999999999</v>
      </c>
      <c r="AC12" s="270">
        <f>AD12*0.63</f>
        <v>21.42</v>
      </c>
      <c r="AD12" s="270">
        <v>34</v>
      </c>
      <c r="AE12" s="275" t="s">
        <v>1943</v>
      </c>
      <c r="AF12" s="272" t="s">
        <v>1944</v>
      </c>
      <c r="AN12" s="210">
        <f>O12*1.1</f>
        <v>24.310000000000002</v>
      </c>
      <c r="AO12" s="210">
        <f>AN12*G12</f>
        <v>48.620000000000005</v>
      </c>
    </row>
    <row r="13" spans="2:41" ht="25.5">
      <c r="B13" s="264" t="s">
        <v>54</v>
      </c>
      <c r="C13" s="265" t="s">
        <v>1945</v>
      </c>
      <c r="D13" s="266" t="s">
        <v>1946</v>
      </c>
      <c r="E13" s="266">
        <v>25</v>
      </c>
      <c r="F13" s="265" t="s">
        <v>708</v>
      </c>
      <c r="G13" s="266">
        <v>2</v>
      </c>
      <c r="H13" s="267">
        <f t="shared" ref="H13:H14" si="0">N13*1</f>
        <v>24.31</v>
      </c>
      <c r="I13" s="267">
        <f t="shared" ref="I13:I81" si="1">H13*G13</f>
        <v>48.62</v>
      </c>
      <c r="J13" s="267">
        <f t="shared" ref="J13:J81" si="2">L13-I13</f>
        <v>11.182600000000001</v>
      </c>
      <c r="K13" s="268">
        <v>0.23</v>
      </c>
      <c r="L13" s="267">
        <f t="shared" ref="L13:L81" si="3">I13+I13*K13</f>
        <v>59.802599999999998</v>
      </c>
      <c r="M13" s="269"/>
      <c r="N13" s="269">
        <f t="shared" ref="N13:N14" si="4">ROUND(O13*1.1,2)</f>
        <v>24.31</v>
      </c>
      <c r="O13" s="270">
        <f t="shared" ref="O13:O14" si="5">P13*0.65</f>
        <v>22.1</v>
      </c>
      <c r="P13" s="271">
        <v>34</v>
      </c>
      <c r="Q13" s="272" t="s">
        <v>1946</v>
      </c>
      <c r="R13" s="272" t="s">
        <v>1944</v>
      </c>
      <c r="S13" s="269"/>
      <c r="T13" s="269"/>
      <c r="U13" s="269"/>
      <c r="V13" s="269"/>
      <c r="W13" s="269"/>
      <c r="X13" s="219"/>
      <c r="Y13" s="273">
        <v>34.99</v>
      </c>
      <c r="Z13" s="274">
        <f t="shared" ref="Z13:Z14" si="6">AC13*1.15</f>
        <v>24.632999999999999</v>
      </c>
      <c r="AC13" s="270">
        <f t="shared" ref="AC13:AC14" si="7">AD13*0.63</f>
        <v>21.42</v>
      </c>
      <c r="AD13" s="270">
        <v>34</v>
      </c>
      <c r="AE13" s="275" t="s">
        <v>1946</v>
      </c>
      <c r="AF13" s="272" t="s">
        <v>1944</v>
      </c>
      <c r="AN13" s="210">
        <f t="shared" ref="AN13:AN76" si="8">O13*1.1</f>
        <v>24.310000000000002</v>
      </c>
      <c r="AO13" s="210">
        <f t="shared" ref="AO13:AO76" si="9">AN13*G13</f>
        <v>48.620000000000005</v>
      </c>
    </row>
    <row r="14" spans="2:41" ht="25.5">
      <c r="B14" s="264" t="s">
        <v>61</v>
      </c>
      <c r="C14" s="265" t="s">
        <v>1947</v>
      </c>
      <c r="D14" s="266" t="s">
        <v>1948</v>
      </c>
      <c r="E14" s="266">
        <v>50</v>
      </c>
      <c r="F14" s="265" t="s">
        <v>708</v>
      </c>
      <c r="G14" s="266">
        <v>2</v>
      </c>
      <c r="H14" s="267">
        <f t="shared" si="0"/>
        <v>24.31</v>
      </c>
      <c r="I14" s="267">
        <f t="shared" si="1"/>
        <v>48.62</v>
      </c>
      <c r="J14" s="267">
        <f t="shared" si="2"/>
        <v>11.182600000000001</v>
      </c>
      <c r="K14" s="268">
        <v>0.23</v>
      </c>
      <c r="L14" s="267">
        <f t="shared" si="3"/>
        <v>59.802599999999998</v>
      </c>
      <c r="M14" s="269"/>
      <c r="N14" s="269">
        <f t="shared" si="4"/>
        <v>24.31</v>
      </c>
      <c r="O14" s="270">
        <f t="shared" si="5"/>
        <v>22.1</v>
      </c>
      <c r="P14" s="271">
        <v>34</v>
      </c>
      <c r="Q14" s="272" t="s">
        <v>1948</v>
      </c>
      <c r="R14" s="272" t="s">
        <v>1944</v>
      </c>
      <c r="S14" s="269"/>
      <c r="T14" s="269"/>
      <c r="U14" s="269"/>
      <c r="V14" s="269"/>
      <c r="W14" s="269"/>
      <c r="X14" s="219"/>
      <c r="Y14" s="273">
        <v>36.51</v>
      </c>
      <c r="Z14" s="274">
        <f t="shared" si="6"/>
        <v>24.632999999999999</v>
      </c>
      <c r="AC14" s="270">
        <f t="shared" si="7"/>
        <v>21.42</v>
      </c>
      <c r="AD14" s="270">
        <v>34</v>
      </c>
      <c r="AE14" s="275" t="s">
        <v>1948</v>
      </c>
      <c r="AF14" s="272" t="s">
        <v>1944</v>
      </c>
      <c r="AN14" s="210">
        <f t="shared" si="8"/>
        <v>24.310000000000002</v>
      </c>
      <c r="AO14" s="210">
        <f t="shared" si="9"/>
        <v>48.620000000000005</v>
      </c>
    </row>
    <row r="15" spans="2:41" s="285" customFormat="1" ht="75">
      <c r="B15" s="264" t="s">
        <v>65</v>
      </c>
      <c r="C15" s="276" t="s">
        <v>1949</v>
      </c>
      <c r="D15" s="276" t="s">
        <v>1950</v>
      </c>
      <c r="E15" s="264" t="s">
        <v>1951</v>
      </c>
      <c r="F15" s="276" t="s">
        <v>708</v>
      </c>
      <c r="G15" s="264">
        <v>10</v>
      </c>
      <c r="H15" s="267">
        <v>75</v>
      </c>
      <c r="I15" s="267">
        <f t="shared" si="1"/>
        <v>750</v>
      </c>
      <c r="J15" s="267">
        <f t="shared" si="2"/>
        <v>172.5</v>
      </c>
      <c r="K15" s="268">
        <v>0.23</v>
      </c>
      <c r="L15" s="267">
        <f t="shared" si="3"/>
        <v>922.5</v>
      </c>
      <c r="M15" s="269"/>
      <c r="N15" s="269">
        <f t="shared" ref="N15:N66" si="10">ROUND(O15*1.17,2)</f>
        <v>257.39999999999998</v>
      </c>
      <c r="O15" s="277">
        <v>220</v>
      </c>
      <c r="P15" s="278"/>
      <c r="Q15" s="279" t="s">
        <v>1950</v>
      </c>
      <c r="R15" s="280" t="s">
        <v>1952</v>
      </c>
      <c r="S15" s="281"/>
      <c r="T15" s="281"/>
      <c r="U15" s="281"/>
      <c r="V15" s="281"/>
      <c r="W15" s="281"/>
      <c r="X15" s="282"/>
      <c r="Y15" s="283">
        <v>230</v>
      </c>
      <c r="Z15" s="284">
        <f>AC15*1</f>
        <v>50</v>
      </c>
      <c r="AC15" s="286">
        <v>50</v>
      </c>
      <c r="AD15" s="287"/>
      <c r="AE15" s="288" t="s">
        <v>1953</v>
      </c>
      <c r="AF15" s="289" t="s">
        <v>1954</v>
      </c>
      <c r="AN15" s="290">
        <f t="shared" si="8"/>
        <v>242.00000000000003</v>
      </c>
      <c r="AO15" s="290">
        <f t="shared" si="9"/>
        <v>2420.0000000000005</v>
      </c>
    </row>
    <row r="16" spans="2:41" ht="38.25">
      <c r="B16" s="264" t="s">
        <v>71</v>
      </c>
      <c r="C16" s="265" t="s">
        <v>1955</v>
      </c>
      <c r="D16" s="266" t="s">
        <v>1956</v>
      </c>
      <c r="E16" s="266">
        <v>100</v>
      </c>
      <c r="F16" s="265" t="s">
        <v>708</v>
      </c>
      <c r="G16" s="266">
        <v>15</v>
      </c>
      <c r="H16" s="267">
        <f>T16*1</f>
        <v>3.59</v>
      </c>
      <c r="I16" s="267">
        <f t="shared" si="1"/>
        <v>53.849999999999994</v>
      </c>
      <c r="J16" s="267">
        <f t="shared" si="2"/>
        <v>12.385499999999993</v>
      </c>
      <c r="K16" s="268">
        <v>0.23</v>
      </c>
      <c r="L16" s="267">
        <f t="shared" si="3"/>
        <v>66.235499999999988</v>
      </c>
      <c r="M16" s="269"/>
      <c r="N16" s="269">
        <f>ROUND(O16*1.15,2)</f>
        <v>4.9400000000000004</v>
      </c>
      <c r="O16" s="291">
        <f>P16*0.65</f>
        <v>4.2965</v>
      </c>
      <c r="P16" s="291">
        <v>6.61</v>
      </c>
      <c r="Q16" s="292" t="s">
        <v>1956</v>
      </c>
      <c r="R16" s="293" t="s">
        <v>1944</v>
      </c>
      <c r="S16" s="294" t="s">
        <v>1957</v>
      </c>
      <c r="T16" s="269">
        <f>ROUND(U16*1.2,2)</f>
        <v>3.59</v>
      </c>
      <c r="U16" s="269">
        <f>V16*0.65</f>
        <v>2.9899999999999998</v>
      </c>
      <c r="V16" s="269">
        <v>4.5999999999999996</v>
      </c>
      <c r="W16" s="295" t="s">
        <v>1958</v>
      </c>
      <c r="X16" s="219"/>
      <c r="Y16" s="273">
        <v>1.42</v>
      </c>
      <c r="Z16" s="274">
        <f>AC16*1.15</f>
        <v>4.709249999999999</v>
      </c>
      <c r="AC16" s="270">
        <f>AD16*0.63</f>
        <v>4.0949999999999998</v>
      </c>
      <c r="AD16" s="270">
        <v>6.5</v>
      </c>
      <c r="AE16" s="272" t="s">
        <v>1959</v>
      </c>
      <c r="AF16" s="272" t="s">
        <v>1944</v>
      </c>
      <c r="AN16" s="210">
        <f t="shared" si="8"/>
        <v>4.7261500000000005</v>
      </c>
      <c r="AO16" s="210">
        <f t="shared" si="9"/>
        <v>70.892250000000004</v>
      </c>
    </row>
    <row r="17" spans="2:41" ht="38.25">
      <c r="B17" s="264" t="s">
        <v>76</v>
      </c>
      <c r="C17" s="265" t="s">
        <v>1955</v>
      </c>
      <c r="D17" s="266" t="s">
        <v>1960</v>
      </c>
      <c r="E17" s="266">
        <v>250</v>
      </c>
      <c r="F17" s="265" t="s">
        <v>708</v>
      </c>
      <c r="G17" s="266">
        <v>15</v>
      </c>
      <c r="H17" s="267">
        <f t="shared" ref="H17:H19" si="11">T17*1</f>
        <v>3.98</v>
      </c>
      <c r="I17" s="267">
        <f t="shared" si="1"/>
        <v>59.7</v>
      </c>
      <c r="J17" s="267">
        <f t="shared" si="2"/>
        <v>13.731000000000009</v>
      </c>
      <c r="K17" s="268">
        <v>0.23</v>
      </c>
      <c r="L17" s="267">
        <f t="shared" si="3"/>
        <v>73.431000000000012</v>
      </c>
      <c r="M17" s="269"/>
      <c r="N17" s="269">
        <f t="shared" ref="N17:N19" si="12">ROUND(O17*1.15,2)</f>
        <v>5.57</v>
      </c>
      <c r="O17" s="291">
        <f t="shared" ref="O17:O19" si="13">P17*0.65</f>
        <v>4.8425000000000002</v>
      </c>
      <c r="P17" s="291">
        <v>7.45</v>
      </c>
      <c r="Q17" s="293" t="s">
        <v>1961</v>
      </c>
      <c r="R17" s="293" t="s">
        <v>1944</v>
      </c>
      <c r="S17" s="294" t="s">
        <v>1957</v>
      </c>
      <c r="T17" s="269">
        <f t="shared" ref="T17:T19" si="14">ROUND(U17*1.2,2)</f>
        <v>3.98</v>
      </c>
      <c r="U17" s="269">
        <f>V17*0.65</f>
        <v>3.3149999999999999</v>
      </c>
      <c r="V17" s="269">
        <v>5.0999999999999996</v>
      </c>
      <c r="W17" s="295" t="s">
        <v>1962</v>
      </c>
      <c r="X17" s="219"/>
      <c r="Y17" s="273">
        <v>1.39</v>
      </c>
      <c r="Z17" s="274">
        <f t="shared" ref="Z17:Z28" si="15">AC17*1.15</f>
        <v>5.3612999999999991</v>
      </c>
      <c r="AC17" s="270">
        <f t="shared" ref="AC17:AC29" si="16">AD17*0.63</f>
        <v>4.6619999999999999</v>
      </c>
      <c r="AD17" s="270">
        <v>7.4</v>
      </c>
      <c r="AE17" s="272" t="s">
        <v>1961</v>
      </c>
      <c r="AF17" s="272" t="s">
        <v>1944</v>
      </c>
      <c r="AN17" s="210">
        <f t="shared" si="8"/>
        <v>5.3267500000000005</v>
      </c>
      <c r="AO17" s="210">
        <f t="shared" si="9"/>
        <v>79.901250000000005</v>
      </c>
    </row>
    <row r="18" spans="2:41" ht="38.25">
      <c r="B18" s="264" t="s">
        <v>85</v>
      </c>
      <c r="C18" s="265" t="s">
        <v>1955</v>
      </c>
      <c r="D18" s="266" t="s">
        <v>1963</v>
      </c>
      <c r="E18" s="266">
        <v>500</v>
      </c>
      <c r="F18" s="265" t="s">
        <v>708</v>
      </c>
      <c r="G18" s="266">
        <v>15</v>
      </c>
      <c r="H18" s="267">
        <f t="shared" si="11"/>
        <v>4.41</v>
      </c>
      <c r="I18" s="267">
        <f t="shared" si="1"/>
        <v>66.150000000000006</v>
      </c>
      <c r="J18" s="267">
        <f t="shared" si="2"/>
        <v>15.214500000000001</v>
      </c>
      <c r="K18" s="268">
        <v>0.23</v>
      </c>
      <c r="L18" s="267">
        <f t="shared" si="3"/>
        <v>81.364500000000007</v>
      </c>
      <c r="M18" s="269"/>
      <c r="N18" s="269">
        <f t="shared" si="12"/>
        <v>6.92</v>
      </c>
      <c r="O18" s="291">
        <f t="shared" si="13"/>
        <v>6.0190000000000001</v>
      </c>
      <c r="P18" s="291">
        <v>9.26</v>
      </c>
      <c r="Q18" s="293" t="s">
        <v>1964</v>
      </c>
      <c r="R18" s="293" t="s">
        <v>1944</v>
      </c>
      <c r="S18" s="294" t="s">
        <v>1957</v>
      </c>
      <c r="T18" s="269">
        <f t="shared" si="14"/>
        <v>4.41</v>
      </c>
      <c r="U18" s="269">
        <f t="shared" ref="U18:U19" si="17">V18*0.65</f>
        <v>3.6725000000000003</v>
      </c>
      <c r="V18" s="269">
        <v>5.65</v>
      </c>
      <c r="W18" s="295" t="s">
        <v>1965</v>
      </c>
      <c r="X18" s="219"/>
      <c r="Y18" s="273">
        <v>1.55</v>
      </c>
      <c r="Z18" s="274">
        <f t="shared" si="15"/>
        <v>6.8827499999999997</v>
      </c>
      <c r="AC18" s="270">
        <f t="shared" si="16"/>
        <v>5.9850000000000003</v>
      </c>
      <c r="AD18" s="270">
        <v>9.5</v>
      </c>
      <c r="AE18" s="272" t="s">
        <v>1964</v>
      </c>
      <c r="AF18" s="272" t="s">
        <v>1944</v>
      </c>
      <c r="AN18" s="210">
        <f t="shared" si="8"/>
        <v>6.6209000000000007</v>
      </c>
      <c r="AO18" s="210">
        <f t="shared" si="9"/>
        <v>99.313500000000005</v>
      </c>
    </row>
    <row r="19" spans="2:41" ht="38.25">
      <c r="B19" s="264" t="s">
        <v>94</v>
      </c>
      <c r="C19" s="265" t="s">
        <v>1966</v>
      </c>
      <c r="D19" s="266" t="s">
        <v>1967</v>
      </c>
      <c r="E19" s="266">
        <v>1000</v>
      </c>
      <c r="F19" s="265" t="s">
        <v>708</v>
      </c>
      <c r="G19" s="266">
        <v>10</v>
      </c>
      <c r="H19" s="267">
        <f t="shared" si="11"/>
        <v>7.33</v>
      </c>
      <c r="I19" s="267">
        <f t="shared" si="1"/>
        <v>73.3</v>
      </c>
      <c r="J19" s="267">
        <f t="shared" si="2"/>
        <v>16.858999999999995</v>
      </c>
      <c r="K19" s="268">
        <v>0.23</v>
      </c>
      <c r="L19" s="267">
        <f t="shared" si="3"/>
        <v>90.158999999999992</v>
      </c>
      <c r="M19" s="269"/>
      <c r="N19" s="269">
        <f t="shared" si="12"/>
        <v>10.32</v>
      </c>
      <c r="O19" s="291">
        <f t="shared" si="13"/>
        <v>8.9700000000000006</v>
      </c>
      <c r="P19" s="291">
        <v>13.8</v>
      </c>
      <c r="Q19" s="293" t="s">
        <v>1968</v>
      </c>
      <c r="R19" s="293" t="s">
        <v>1944</v>
      </c>
      <c r="S19" s="294" t="s">
        <v>1957</v>
      </c>
      <c r="T19" s="269">
        <f t="shared" si="14"/>
        <v>7.33</v>
      </c>
      <c r="U19" s="269">
        <f t="shared" si="17"/>
        <v>6.11</v>
      </c>
      <c r="V19" s="269">
        <v>9.4</v>
      </c>
      <c r="W19" s="295" t="s">
        <v>1969</v>
      </c>
      <c r="X19" s="219"/>
      <c r="Y19" s="273">
        <v>4.6399999999999997</v>
      </c>
      <c r="Z19" s="274">
        <f t="shared" si="15"/>
        <v>10.142999999999999</v>
      </c>
      <c r="AC19" s="270">
        <f t="shared" si="16"/>
        <v>8.82</v>
      </c>
      <c r="AD19" s="270">
        <v>14</v>
      </c>
      <c r="AE19" s="272" t="s">
        <v>1968</v>
      </c>
      <c r="AF19" s="272" t="s">
        <v>1944</v>
      </c>
      <c r="AN19" s="210">
        <f t="shared" si="8"/>
        <v>9.8670000000000009</v>
      </c>
      <c r="AO19" s="210">
        <f t="shared" si="9"/>
        <v>98.670000000000016</v>
      </c>
    </row>
    <row r="20" spans="2:41" ht="25.5">
      <c r="B20" s="264" t="s">
        <v>97</v>
      </c>
      <c r="C20" s="265" t="s">
        <v>1970</v>
      </c>
      <c r="D20" s="266">
        <v>414321100</v>
      </c>
      <c r="E20" s="266">
        <v>100</v>
      </c>
      <c r="F20" s="265" t="s">
        <v>1624</v>
      </c>
      <c r="G20" s="266">
        <v>40</v>
      </c>
      <c r="H20" s="267">
        <f>N20*1</f>
        <v>5.7</v>
      </c>
      <c r="I20" s="267">
        <f t="shared" si="1"/>
        <v>228</v>
      </c>
      <c r="J20" s="267">
        <f t="shared" si="2"/>
        <v>52.44</v>
      </c>
      <c r="K20" s="268">
        <v>0.23</v>
      </c>
      <c r="L20" s="267">
        <f t="shared" si="3"/>
        <v>280.44</v>
      </c>
      <c r="M20" s="269"/>
      <c r="N20" s="269">
        <f>ROUND(O20*1.15,2)</f>
        <v>5.7</v>
      </c>
      <c r="O20" s="270">
        <f>P20*0.75</f>
        <v>4.9575000000000005</v>
      </c>
      <c r="P20" s="271">
        <v>6.61</v>
      </c>
      <c r="Q20" s="272" t="s">
        <v>1971</v>
      </c>
      <c r="R20" s="272" t="s">
        <v>1972</v>
      </c>
      <c r="S20" s="267" t="s">
        <v>1957</v>
      </c>
      <c r="T20" s="269"/>
      <c r="U20" s="269"/>
      <c r="V20" s="269"/>
      <c r="W20" s="269"/>
      <c r="X20" s="219"/>
      <c r="Y20" s="273"/>
      <c r="Z20" s="274">
        <f t="shared" si="15"/>
        <v>6.0811999999999999</v>
      </c>
      <c r="AC20" s="270">
        <f>AD20*0.8</f>
        <v>5.2880000000000003</v>
      </c>
      <c r="AD20" s="270">
        <v>6.61</v>
      </c>
      <c r="AE20" s="272"/>
      <c r="AF20" s="272" t="s">
        <v>1972</v>
      </c>
      <c r="AN20" s="210">
        <f t="shared" si="8"/>
        <v>5.4532500000000006</v>
      </c>
      <c r="AO20" s="210">
        <f t="shared" si="9"/>
        <v>218.13000000000002</v>
      </c>
    </row>
    <row r="21" spans="2:41" ht="25.5">
      <c r="B21" s="264" t="s">
        <v>100</v>
      </c>
      <c r="C21" s="265" t="s">
        <v>1970</v>
      </c>
      <c r="D21" s="266">
        <v>414321250</v>
      </c>
      <c r="E21" s="266">
        <v>250</v>
      </c>
      <c r="F21" s="265" t="s">
        <v>1624</v>
      </c>
      <c r="G21" s="266">
        <v>40</v>
      </c>
      <c r="H21" s="267">
        <f t="shared" ref="H21:H43" si="18">N21*1</f>
        <v>6.43</v>
      </c>
      <c r="I21" s="267">
        <f t="shared" si="1"/>
        <v>257.2</v>
      </c>
      <c r="J21" s="267">
        <f t="shared" si="2"/>
        <v>59.156000000000006</v>
      </c>
      <c r="K21" s="268">
        <v>0.23</v>
      </c>
      <c r="L21" s="267">
        <f t="shared" si="3"/>
        <v>316.35599999999999</v>
      </c>
      <c r="M21" s="269"/>
      <c r="N21" s="269">
        <f t="shared" ref="N21:N23" si="19">ROUND(O21*1.15,2)</f>
        <v>6.43</v>
      </c>
      <c r="O21" s="270">
        <f t="shared" ref="O21:O23" si="20">P21*0.75</f>
        <v>5.5875000000000004</v>
      </c>
      <c r="P21" s="271">
        <v>7.45</v>
      </c>
      <c r="Q21" s="272" t="s">
        <v>1973</v>
      </c>
      <c r="R21" s="272" t="s">
        <v>1972</v>
      </c>
      <c r="S21" s="267" t="s">
        <v>1957</v>
      </c>
      <c r="T21" s="269"/>
      <c r="U21" s="269"/>
      <c r="V21" s="269"/>
      <c r="W21" s="269"/>
      <c r="X21" s="219"/>
      <c r="Y21" s="273"/>
      <c r="Z21" s="274">
        <f t="shared" si="15"/>
        <v>6.8540000000000001</v>
      </c>
      <c r="AC21" s="270">
        <f>AD21*0.8</f>
        <v>5.9600000000000009</v>
      </c>
      <c r="AD21" s="270">
        <v>7.45</v>
      </c>
      <c r="AE21" s="272"/>
      <c r="AF21" s="272" t="s">
        <v>1972</v>
      </c>
      <c r="AN21" s="210">
        <f t="shared" si="8"/>
        <v>6.1462500000000011</v>
      </c>
      <c r="AO21" s="210">
        <f t="shared" si="9"/>
        <v>245.85000000000005</v>
      </c>
    </row>
    <row r="22" spans="2:41" ht="25.5">
      <c r="B22" s="264" t="s">
        <v>104</v>
      </c>
      <c r="C22" s="265" t="s">
        <v>1970</v>
      </c>
      <c r="D22" s="266">
        <v>414321500</v>
      </c>
      <c r="E22" s="266">
        <v>500</v>
      </c>
      <c r="F22" s="265" t="s">
        <v>1624</v>
      </c>
      <c r="G22" s="266">
        <v>40</v>
      </c>
      <c r="H22" s="267">
        <f t="shared" si="18"/>
        <v>7.99</v>
      </c>
      <c r="I22" s="267">
        <f t="shared" si="1"/>
        <v>319.60000000000002</v>
      </c>
      <c r="J22" s="267">
        <f t="shared" si="2"/>
        <v>73.508000000000038</v>
      </c>
      <c r="K22" s="268">
        <v>0.23</v>
      </c>
      <c r="L22" s="267">
        <f t="shared" si="3"/>
        <v>393.10800000000006</v>
      </c>
      <c r="M22" s="269"/>
      <c r="N22" s="269">
        <f t="shared" si="19"/>
        <v>7.99</v>
      </c>
      <c r="O22" s="270">
        <f t="shared" si="20"/>
        <v>6.9450000000000003</v>
      </c>
      <c r="P22" s="271">
        <v>9.26</v>
      </c>
      <c r="Q22" s="272" t="s">
        <v>1974</v>
      </c>
      <c r="R22" s="272" t="s">
        <v>1972</v>
      </c>
      <c r="S22" s="267" t="s">
        <v>1957</v>
      </c>
      <c r="T22" s="269"/>
      <c r="U22" s="269"/>
      <c r="V22" s="269"/>
      <c r="W22" s="269"/>
      <c r="X22" s="219"/>
      <c r="Y22" s="273"/>
      <c r="Z22" s="274">
        <f t="shared" si="15"/>
        <v>8.5191999999999997</v>
      </c>
      <c r="AC22" s="270">
        <f t="shared" ref="AC22:AC23" si="21">AD22*0.8</f>
        <v>7.4080000000000004</v>
      </c>
      <c r="AD22" s="270">
        <v>9.26</v>
      </c>
      <c r="AE22" s="272"/>
      <c r="AF22" s="272" t="s">
        <v>1972</v>
      </c>
      <c r="AN22" s="210">
        <f t="shared" si="8"/>
        <v>7.6395000000000008</v>
      </c>
      <c r="AO22" s="210">
        <f t="shared" si="9"/>
        <v>305.58000000000004</v>
      </c>
    </row>
    <row r="23" spans="2:41" ht="25.5">
      <c r="B23" s="264" t="s">
        <v>110</v>
      </c>
      <c r="C23" s="265" t="s">
        <v>1970</v>
      </c>
      <c r="D23" s="266">
        <v>414321940</v>
      </c>
      <c r="E23" s="266">
        <v>1000</v>
      </c>
      <c r="F23" s="265" t="s">
        <v>1624</v>
      </c>
      <c r="G23" s="266">
        <v>40</v>
      </c>
      <c r="H23" s="267">
        <f t="shared" si="18"/>
        <v>11.39</v>
      </c>
      <c r="I23" s="267">
        <f t="shared" si="1"/>
        <v>455.6</v>
      </c>
      <c r="J23" s="267">
        <f t="shared" si="2"/>
        <v>104.78800000000001</v>
      </c>
      <c r="K23" s="268">
        <v>0.23</v>
      </c>
      <c r="L23" s="267">
        <f t="shared" si="3"/>
        <v>560.38800000000003</v>
      </c>
      <c r="M23" s="269"/>
      <c r="N23" s="269">
        <f t="shared" si="19"/>
        <v>11.39</v>
      </c>
      <c r="O23" s="270">
        <f t="shared" si="20"/>
        <v>9.8999999999999986</v>
      </c>
      <c r="P23" s="271">
        <v>13.2</v>
      </c>
      <c r="Q23" s="272" t="s">
        <v>1975</v>
      </c>
      <c r="R23" s="272" t="s">
        <v>1972</v>
      </c>
      <c r="S23" s="267" t="s">
        <v>1957</v>
      </c>
      <c r="T23" s="269"/>
      <c r="U23" s="269"/>
      <c r="V23" s="269"/>
      <c r="W23" s="269"/>
      <c r="X23" s="219"/>
      <c r="Y23" s="273"/>
      <c r="Z23" s="274">
        <f t="shared" si="15"/>
        <v>12.144</v>
      </c>
      <c r="AC23" s="270">
        <f t="shared" si="21"/>
        <v>10.56</v>
      </c>
      <c r="AD23" s="270">
        <v>13.2</v>
      </c>
      <c r="AE23" s="272"/>
      <c r="AF23" s="272" t="s">
        <v>1972</v>
      </c>
      <c r="AN23" s="210">
        <f t="shared" si="8"/>
        <v>10.889999999999999</v>
      </c>
      <c r="AO23" s="210">
        <f t="shared" si="9"/>
        <v>435.59999999999997</v>
      </c>
    </row>
    <row r="24" spans="2:41" ht="25.5">
      <c r="B24" s="264" t="s">
        <v>117</v>
      </c>
      <c r="C24" s="265" t="s">
        <v>1976</v>
      </c>
      <c r="D24" s="266" t="s">
        <v>1977</v>
      </c>
      <c r="E24" s="266">
        <v>100</v>
      </c>
      <c r="F24" s="265" t="s">
        <v>1978</v>
      </c>
      <c r="G24" s="266">
        <v>20</v>
      </c>
      <c r="H24" s="267">
        <f t="shared" si="18"/>
        <v>3.71</v>
      </c>
      <c r="I24" s="267">
        <f t="shared" si="1"/>
        <v>74.2</v>
      </c>
      <c r="J24" s="267">
        <f t="shared" si="2"/>
        <v>17.066000000000003</v>
      </c>
      <c r="K24" s="268">
        <v>0.23</v>
      </c>
      <c r="L24" s="267">
        <f t="shared" si="3"/>
        <v>91.266000000000005</v>
      </c>
      <c r="M24" s="269"/>
      <c r="N24" s="269">
        <f>ROUND(O24*1.14,2)</f>
        <v>3.71</v>
      </c>
      <c r="O24" s="270">
        <f>P24*0.65</f>
        <v>3.25</v>
      </c>
      <c r="P24" s="271">
        <v>5</v>
      </c>
      <c r="Q24" s="296" t="s">
        <v>1977</v>
      </c>
      <c r="R24" s="272" t="s">
        <v>1979</v>
      </c>
      <c r="S24" s="269"/>
      <c r="T24" s="269"/>
      <c r="U24" s="269"/>
      <c r="V24" s="269"/>
      <c r="W24" s="269"/>
      <c r="X24" s="219"/>
      <c r="Y24" s="273"/>
      <c r="Z24" s="274"/>
      <c r="AC24" s="270"/>
      <c r="AD24" s="270"/>
      <c r="AE24" s="272"/>
      <c r="AF24" s="272"/>
      <c r="AN24" s="210">
        <f t="shared" si="8"/>
        <v>3.5750000000000002</v>
      </c>
      <c r="AO24" s="210">
        <f t="shared" si="9"/>
        <v>71.5</v>
      </c>
    </row>
    <row r="25" spans="2:41" ht="25.5">
      <c r="B25" s="264" t="s">
        <v>121</v>
      </c>
      <c r="C25" s="265" t="s">
        <v>1976</v>
      </c>
      <c r="D25" s="266" t="s">
        <v>1980</v>
      </c>
      <c r="E25" s="266">
        <v>250</v>
      </c>
      <c r="F25" s="265" t="s">
        <v>708</v>
      </c>
      <c r="G25" s="266">
        <v>20</v>
      </c>
      <c r="H25" s="267">
        <f t="shared" si="18"/>
        <v>4.45</v>
      </c>
      <c r="I25" s="267">
        <f t="shared" si="1"/>
        <v>89</v>
      </c>
      <c r="J25" s="267">
        <f t="shared" si="2"/>
        <v>20.47</v>
      </c>
      <c r="K25" s="268">
        <v>0.23</v>
      </c>
      <c r="L25" s="267">
        <f t="shared" si="3"/>
        <v>109.47</v>
      </c>
      <c r="M25" s="269"/>
      <c r="N25" s="269">
        <f t="shared" ref="N25:N27" si="22">ROUND(O25*1.14,2)</f>
        <v>4.45</v>
      </c>
      <c r="O25" s="270">
        <f>P25*0.65</f>
        <v>3.9000000000000004</v>
      </c>
      <c r="P25" s="271">
        <v>6</v>
      </c>
      <c r="Q25" s="272" t="s">
        <v>1981</v>
      </c>
      <c r="R25" s="272" t="s">
        <v>1944</v>
      </c>
      <c r="S25" s="269"/>
      <c r="T25" s="269"/>
      <c r="U25" s="269"/>
      <c r="V25" s="269"/>
      <c r="W25" s="269"/>
      <c r="X25" s="219"/>
      <c r="Y25" s="273">
        <v>3.26</v>
      </c>
      <c r="Z25" s="274">
        <f t="shared" si="15"/>
        <v>3.9847499999999996</v>
      </c>
      <c r="AC25" s="270">
        <f t="shared" si="16"/>
        <v>3.4649999999999999</v>
      </c>
      <c r="AD25" s="270">
        <v>5.5</v>
      </c>
      <c r="AE25" s="272" t="s">
        <v>1981</v>
      </c>
      <c r="AF25" s="272" t="s">
        <v>1944</v>
      </c>
      <c r="AN25" s="210">
        <f t="shared" si="8"/>
        <v>4.2900000000000009</v>
      </c>
      <c r="AO25" s="210">
        <f t="shared" si="9"/>
        <v>85.800000000000011</v>
      </c>
    </row>
    <row r="26" spans="2:41" ht="25.5">
      <c r="B26" s="264" t="s">
        <v>124</v>
      </c>
      <c r="C26" s="265" t="s">
        <v>1982</v>
      </c>
      <c r="D26" s="266" t="s">
        <v>1983</v>
      </c>
      <c r="E26" s="266">
        <v>500</v>
      </c>
      <c r="F26" s="265" t="s">
        <v>708</v>
      </c>
      <c r="G26" s="266">
        <v>20</v>
      </c>
      <c r="H26" s="267">
        <f t="shared" si="18"/>
        <v>5.48</v>
      </c>
      <c r="I26" s="267">
        <f t="shared" si="1"/>
        <v>109.60000000000001</v>
      </c>
      <c r="J26" s="267">
        <f t="shared" si="2"/>
        <v>25.208000000000013</v>
      </c>
      <c r="K26" s="268">
        <v>0.23</v>
      </c>
      <c r="L26" s="267">
        <f t="shared" si="3"/>
        <v>134.80800000000002</v>
      </c>
      <c r="M26" s="269"/>
      <c r="N26" s="269">
        <f t="shared" si="22"/>
        <v>5.48</v>
      </c>
      <c r="O26" s="270">
        <f t="shared" ref="O26:O29" si="23">P26*0.65</f>
        <v>4.8100000000000005</v>
      </c>
      <c r="P26" s="271">
        <v>7.4</v>
      </c>
      <c r="Q26" s="272" t="s">
        <v>1984</v>
      </c>
      <c r="R26" s="272" t="s">
        <v>1944</v>
      </c>
      <c r="S26" s="269"/>
      <c r="T26" s="269"/>
      <c r="U26" s="269"/>
      <c r="V26" s="269"/>
      <c r="W26" s="269"/>
      <c r="X26" s="219"/>
      <c r="Y26" s="273">
        <v>4.17</v>
      </c>
      <c r="Z26" s="274">
        <f t="shared" si="15"/>
        <v>4.9990500000000004</v>
      </c>
      <c r="AC26" s="270">
        <f t="shared" si="16"/>
        <v>4.3470000000000004</v>
      </c>
      <c r="AD26" s="270">
        <v>6.9</v>
      </c>
      <c r="AE26" s="272" t="s">
        <v>1984</v>
      </c>
      <c r="AF26" s="272" t="s">
        <v>1944</v>
      </c>
      <c r="AN26" s="210">
        <f t="shared" si="8"/>
        <v>5.2910000000000013</v>
      </c>
      <c r="AO26" s="210">
        <f t="shared" si="9"/>
        <v>105.82000000000002</v>
      </c>
    </row>
    <row r="27" spans="2:41" ht="25.5">
      <c r="B27" s="264" t="s">
        <v>130</v>
      </c>
      <c r="C27" s="265" t="s">
        <v>1985</v>
      </c>
      <c r="D27" s="266" t="s">
        <v>1986</v>
      </c>
      <c r="E27" s="266">
        <v>1000</v>
      </c>
      <c r="F27" s="265" t="s">
        <v>708</v>
      </c>
      <c r="G27" s="266">
        <v>20</v>
      </c>
      <c r="H27" s="267">
        <f t="shared" si="18"/>
        <v>6.67</v>
      </c>
      <c r="I27" s="267">
        <f t="shared" si="1"/>
        <v>133.4</v>
      </c>
      <c r="J27" s="267">
        <f t="shared" si="2"/>
        <v>30.681999999999988</v>
      </c>
      <c r="K27" s="268">
        <v>0.23</v>
      </c>
      <c r="L27" s="267">
        <f t="shared" si="3"/>
        <v>164.08199999999999</v>
      </c>
      <c r="M27" s="269"/>
      <c r="N27" s="269">
        <f t="shared" si="22"/>
        <v>6.67</v>
      </c>
      <c r="O27" s="270">
        <f t="shared" si="23"/>
        <v>5.8500000000000005</v>
      </c>
      <c r="P27" s="271">
        <v>9</v>
      </c>
      <c r="Q27" s="272" t="s">
        <v>1987</v>
      </c>
      <c r="R27" s="272" t="s">
        <v>1944</v>
      </c>
      <c r="S27" s="269"/>
      <c r="T27" s="269"/>
      <c r="U27" s="269"/>
      <c r="V27" s="269"/>
      <c r="W27" s="269"/>
      <c r="X27" s="219"/>
      <c r="Y27" s="273">
        <v>5.28</v>
      </c>
      <c r="Z27" s="274">
        <f t="shared" si="15"/>
        <v>6.1582499999999998</v>
      </c>
      <c r="AC27" s="270">
        <f t="shared" si="16"/>
        <v>5.3550000000000004</v>
      </c>
      <c r="AD27" s="270">
        <v>8.5</v>
      </c>
      <c r="AE27" s="272" t="s">
        <v>1987</v>
      </c>
      <c r="AF27" s="272" t="s">
        <v>1944</v>
      </c>
      <c r="AN27" s="210">
        <f t="shared" si="8"/>
        <v>6.4350000000000014</v>
      </c>
      <c r="AO27" s="210">
        <f t="shared" si="9"/>
        <v>128.70000000000002</v>
      </c>
    </row>
    <row r="28" spans="2:41" ht="25.5">
      <c r="B28" s="264" t="s">
        <v>140</v>
      </c>
      <c r="C28" s="265" t="s">
        <v>1985</v>
      </c>
      <c r="D28" s="266" t="s">
        <v>1988</v>
      </c>
      <c r="E28" s="266">
        <v>2000</v>
      </c>
      <c r="F28" s="265" t="s">
        <v>708</v>
      </c>
      <c r="G28" s="266">
        <v>20</v>
      </c>
      <c r="H28" s="267">
        <f t="shared" si="18"/>
        <v>9.3000000000000007</v>
      </c>
      <c r="I28" s="267">
        <f t="shared" si="1"/>
        <v>186</v>
      </c>
      <c r="J28" s="267">
        <f t="shared" si="2"/>
        <v>42.78</v>
      </c>
      <c r="K28" s="268">
        <v>0.23</v>
      </c>
      <c r="L28" s="267">
        <f t="shared" si="3"/>
        <v>228.78</v>
      </c>
      <c r="M28" s="269"/>
      <c r="N28" s="269">
        <f>ROUND(O28*1.1,2)</f>
        <v>9.3000000000000007</v>
      </c>
      <c r="O28" s="270">
        <f t="shared" si="23"/>
        <v>8.4500000000000011</v>
      </c>
      <c r="P28" s="271">
        <v>13</v>
      </c>
      <c r="Q28" s="272" t="s">
        <v>1989</v>
      </c>
      <c r="R28" s="272" t="s">
        <v>1944</v>
      </c>
      <c r="S28" s="269"/>
      <c r="T28" s="269"/>
      <c r="U28" s="269"/>
      <c r="V28" s="269"/>
      <c r="W28" s="269"/>
      <c r="X28" s="219"/>
      <c r="Y28" s="273">
        <v>14.38</v>
      </c>
      <c r="Z28" s="274">
        <f t="shared" si="15"/>
        <v>9.0562499999999986</v>
      </c>
      <c r="AC28" s="270">
        <f t="shared" si="16"/>
        <v>7.875</v>
      </c>
      <c r="AD28" s="270">
        <v>12.5</v>
      </c>
      <c r="AE28" s="272" t="s">
        <v>1989</v>
      </c>
      <c r="AF28" s="272" t="s">
        <v>1944</v>
      </c>
      <c r="AN28" s="210">
        <f t="shared" si="8"/>
        <v>9.2950000000000017</v>
      </c>
      <c r="AO28" s="210">
        <f t="shared" si="9"/>
        <v>185.90000000000003</v>
      </c>
    </row>
    <row r="29" spans="2:41" ht="25.5">
      <c r="B29" s="264" t="s">
        <v>145</v>
      </c>
      <c r="C29" s="265" t="s">
        <v>1990</v>
      </c>
      <c r="D29" s="266" t="s">
        <v>1991</v>
      </c>
      <c r="E29" s="266">
        <v>5000</v>
      </c>
      <c r="F29" s="265" t="s">
        <v>708</v>
      </c>
      <c r="G29" s="266">
        <v>20</v>
      </c>
      <c r="H29" s="267">
        <f t="shared" si="18"/>
        <v>37.21</v>
      </c>
      <c r="I29" s="267">
        <f t="shared" si="1"/>
        <v>744.2</v>
      </c>
      <c r="J29" s="267">
        <f t="shared" si="2"/>
        <v>171.16600000000005</v>
      </c>
      <c r="K29" s="268">
        <v>0.23</v>
      </c>
      <c r="L29" s="267">
        <f t="shared" si="3"/>
        <v>915.3660000000001</v>
      </c>
      <c r="M29" s="269"/>
      <c r="N29" s="269">
        <f>ROUND(O29*1.08,2)</f>
        <v>37.21</v>
      </c>
      <c r="O29" s="270">
        <f t="shared" si="23"/>
        <v>34.450000000000003</v>
      </c>
      <c r="P29" s="271">
        <v>53</v>
      </c>
      <c r="Q29" s="272" t="s">
        <v>1992</v>
      </c>
      <c r="R29" s="272" t="s">
        <v>1944</v>
      </c>
      <c r="S29" s="269"/>
      <c r="T29" s="269"/>
      <c r="U29" s="269"/>
      <c r="V29" s="269"/>
      <c r="W29" s="269"/>
      <c r="X29" s="219"/>
      <c r="Y29" s="297">
        <v>57.5</v>
      </c>
      <c r="Z29" s="298">
        <f>AC29*1.15</f>
        <v>36.224999999999994</v>
      </c>
      <c r="AA29" s="299"/>
      <c r="AB29" s="300"/>
      <c r="AC29" s="301">
        <f t="shared" si="16"/>
        <v>31.5</v>
      </c>
      <c r="AD29" s="301">
        <v>50</v>
      </c>
      <c r="AE29" s="302" t="s">
        <v>1992</v>
      </c>
      <c r="AF29" s="302" t="s">
        <v>1944</v>
      </c>
      <c r="AN29" s="210">
        <f t="shared" si="8"/>
        <v>37.895000000000003</v>
      </c>
      <c r="AO29" s="210">
        <f t="shared" si="9"/>
        <v>757.90000000000009</v>
      </c>
    </row>
    <row r="30" spans="2:41" ht="38.25">
      <c r="B30" s="264" t="s">
        <v>148</v>
      </c>
      <c r="C30" s="265" t="s">
        <v>1993</v>
      </c>
      <c r="D30" s="266" t="s">
        <v>1994</v>
      </c>
      <c r="E30" s="266">
        <v>50</v>
      </c>
      <c r="F30" s="265" t="s">
        <v>708</v>
      </c>
      <c r="G30" s="266">
        <v>20</v>
      </c>
      <c r="H30" s="267">
        <f t="shared" si="18"/>
        <v>4.7300000000000004</v>
      </c>
      <c r="I30" s="267">
        <f t="shared" si="1"/>
        <v>94.600000000000009</v>
      </c>
      <c r="J30" s="267">
        <f t="shared" si="2"/>
        <v>21.757999999999996</v>
      </c>
      <c r="K30" s="268">
        <v>0.23</v>
      </c>
      <c r="L30" s="267">
        <f t="shared" si="3"/>
        <v>116.358</v>
      </c>
      <c r="M30" s="269"/>
      <c r="N30" s="269">
        <f>ROUND(O30*1.12,2)</f>
        <v>4.7300000000000004</v>
      </c>
      <c r="O30" s="270">
        <f>P30*0.65</f>
        <v>4.2250000000000005</v>
      </c>
      <c r="P30" s="271">
        <v>6.5</v>
      </c>
      <c r="Q30" s="272" t="s">
        <v>1995</v>
      </c>
      <c r="R30" s="272" t="s">
        <v>1944</v>
      </c>
      <c r="S30" s="269"/>
      <c r="T30" s="269"/>
      <c r="U30" s="269"/>
      <c r="V30" s="269"/>
      <c r="W30" s="269"/>
      <c r="X30" s="219"/>
      <c r="Y30" s="273">
        <v>4.1500000000000004</v>
      </c>
      <c r="Z30" s="274">
        <f>AC30*1.15</f>
        <v>3.2602499999999996</v>
      </c>
      <c r="AC30" s="270">
        <f>AD30*0.63</f>
        <v>2.835</v>
      </c>
      <c r="AD30" s="270">
        <v>4.5</v>
      </c>
      <c r="AE30" s="272" t="s">
        <v>1995</v>
      </c>
      <c r="AF30" s="272" t="s">
        <v>1944</v>
      </c>
      <c r="AN30" s="210">
        <f t="shared" si="8"/>
        <v>4.6475000000000009</v>
      </c>
      <c r="AO30" s="210">
        <f t="shared" si="9"/>
        <v>92.950000000000017</v>
      </c>
    </row>
    <row r="31" spans="2:41" ht="38.25">
      <c r="B31" s="264" t="s">
        <v>151</v>
      </c>
      <c r="C31" s="265" t="s">
        <v>1993</v>
      </c>
      <c r="D31" s="266" t="s">
        <v>1996</v>
      </c>
      <c r="E31" s="266">
        <v>100</v>
      </c>
      <c r="F31" s="265" t="s">
        <v>708</v>
      </c>
      <c r="G31" s="266">
        <v>20</v>
      </c>
      <c r="H31" s="267">
        <f t="shared" si="18"/>
        <v>5.31</v>
      </c>
      <c r="I31" s="267">
        <f t="shared" si="1"/>
        <v>106.19999999999999</v>
      </c>
      <c r="J31" s="267">
        <f t="shared" si="2"/>
        <v>24.425999999999988</v>
      </c>
      <c r="K31" s="268">
        <v>0.23</v>
      </c>
      <c r="L31" s="267">
        <f t="shared" si="3"/>
        <v>130.62599999999998</v>
      </c>
      <c r="M31" s="269"/>
      <c r="N31" s="269">
        <f t="shared" ref="N31:N33" si="24">ROUND(O31*1.12,2)</f>
        <v>5.31</v>
      </c>
      <c r="O31" s="270">
        <f t="shared" ref="O31:O33" si="25">P31*0.65</f>
        <v>4.7450000000000001</v>
      </c>
      <c r="P31" s="271">
        <v>7.3</v>
      </c>
      <c r="Q31" s="272" t="s">
        <v>1997</v>
      </c>
      <c r="R31" s="272" t="s">
        <v>1944</v>
      </c>
      <c r="S31" s="269"/>
      <c r="T31" s="269"/>
      <c r="U31" s="269"/>
      <c r="V31" s="269"/>
      <c r="W31" s="269"/>
      <c r="X31" s="219"/>
      <c r="Y31" s="273">
        <v>5.15</v>
      </c>
      <c r="Z31" s="274">
        <f t="shared" ref="Z31:Z47" si="26">AC31*1.15</f>
        <v>4.057199999999999</v>
      </c>
      <c r="AC31" s="270">
        <f t="shared" ref="AC31:AC33" si="27">AD31*0.63</f>
        <v>3.5279999999999996</v>
      </c>
      <c r="AD31" s="270">
        <v>5.6</v>
      </c>
      <c r="AE31" s="272" t="s">
        <v>1997</v>
      </c>
      <c r="AF31" s="272" t="s">
        <v>1944</v>
      </c>
      <c r="AN31" s="210">
        <f t="shared" si="8"/>
        <v>5.2195000000000009</v>
      </c>
      <c r="AO31" s="210">
        <f t="shared" si="9"/>
        <v>104.39000000000001</v>
      </c>
    </row>
    <row r="32" spans="2:41" ht="38.25">
      <c r="B32" s="264" t="s">
        <v>154</v>
      </c>
      <c r="C32" s="265" t="s">
        <v>1998</v>
      </c>
      <c r="D32" s="266" t="s">
        <v>1999</v>
      </c>
      <c r="E32" s="266">
        <v>250</v>
      </c>
      <c r="F32" s="265" t="s">
        <v>708</v>
      </c>
      <c r="G32" s="266">
        <v>30</v>
      </c>
      <c r="H32" s="267">
        <f t="shared" si="18"/>
        <v>6.19</v>
      </c>
      <c r="I32" s="267">
        <f t="shared" si="1"/>
        <v>185.70000000000002</v>
      </c>
      <c r="J32" s="267">
        <f t="shared" si="2"/>
        <v>42.711000000000013</v>
      </c>
      <c r="K32" s="268">
        <v>0.23</v>
      </c>
      <c r="L32" s="267">
        <f t="shared" si="3"/>
        <v>228.41100000000003</v>
      </c>
      <c r="M32" s="269"/>
      <c r="N32" s="269">
        <f t="shared" si="24"/>
        <v>6.19</v>
      </c>
      <c r="O32" s="270">
        <f t="shared" si="25"/>
        <v>5.5250000000000004</v>
      </c>
      <c r="P32" s="271">
        <v>8.5</v>
      </c>
      <c r="Q32" s="272" t="s">
        <v>2000</v>
      </c>
      <c r="R32" s="272" t="s">
        <v>1944</v>
      </c>
      <c r="S32" s="269"/>
      <c r="T32" s="269"/>
      <c r="U32" s="269"/>
      <c r="V32" s="269"/>
      <c r="W32" s="269"/>
      <c r="X32" s="219"/>
      <c r="Y32" s="303">
        <v>9.66</v>
      </c>
      <c r="Z32" s="274">
        <f t="shared" si="26"/>
        <v>4.9265999999999996</v>
      </c>
      <c r="AC32" s="270">
        <f t="shared" si="27"/>
        <v>4.2839999999999998</v>
      </c>
      <c r="AD32" s="270">
        <v>6.8</v>
      </c>
      <c r="AE32" s="272" t="s">
        <v>2000</v>
      </c>
      <c r="AF32" s="272" t="s">
        <v>1944</v>
      </c>
      <c r="AN32" s="210">
        <f t="shared" si="8"/>
        <v>6.0775000000000006</v>
      </c>
      <c r="AO32" s="210">
        <f t="shared" si="9"/>
        <v>182.32500000000002</v>
      </c>
    </row>
    <row r="33" spans="2:41" ht="38.25">
      <c r="B33" s="264" t="s">
        <v>157</v>
      </c>
      <c r="C33" s="265" t="s">
        <v>2001</v>
      </c>
      <c r="D33" s="266" t="s">
        <v>2002</v>
      </c>
      <c r="E33" s="266">
        <v>500</v>
      </c>
      <c r="F33" s="265" t="s">
        <v>708</v>
      </c>
      <c r="G33" s="266">
        <v>30</v>
      </c>
      <c r="H33" s="267">
        <f t="shared" si="18"/>
        <v>9.4600000000000009</v>
      </c>
      <c r="I33" s="267">
        <f t="shared" si="1"/>
        <v>283.8</v>
      </c>
      <c r="J33" s="267">
        <f t="shared" si="2"/>
        <v>65.274000000000001</v>
      </c>
      <c r="K33" s="268">
        <v>0.23</v>
      </c>
      <c r="L33" s="267">
        <f t="shared" si="3"/>
        <v>349.07400000000001</v>
      </c>
      <c r="M33" s="269"/>
      <c r="N33" s="269">
        <f t="shared" si="24"/>
        <v>9.4600000000000009</v>
      </c>
      <c r="O33" s="270">
        <f t="shared" si="25"/>
        <v>8.4500000000000011</v>
      </c>
      <c r="P33" s="271">
        <v>13</v>
      </c>
      <c r="Q33" s="295" t="s">
        <v>2002</v>
      </c>
      <c r="R33" s="272" t="s">
        <v>1944</v>
      </c>
      <c r="S33" s="269"/>
      <c r="T33" s="269"/>
      <c r="U33" s="269"/>
      <c r="V33" s="269"/>
      <c r="W33" s="269"/>
      <c r="X33" s="219"/>
      <c r="Y33" s="303">
        <v>5.7</v>
      </c>
      <c r="Z33" s="274">
        <f t="shared" si="26"/>
        <v>7.2449999999999992</v>
      </c>
      <c r="AC33" s="270">
        <f t="shared" si="27"/>
        <v>6.3</v>
      </c>
      <c r="AD33" s="270">
        <v>10</v>
      </c>
      <c r="AE33" s="272" t="s">
        <v>2003</v>
      </c>
      <c r="AF33" s="272" t="s">
        <v>1944</v>
      </c>
      <c r="AN33" s="210">
        <f t="shared" si="8"/>
        <v>9.2950000000000017</v>
      </c>
      <c r="AO33" s="210">
        <f t="shared" si="9"/>
        <v>278.85000000000002</v>
      </c>
    </row>
    <row r="34" spans="2:41" ht="38.25">
      <c r="B34" s="264" t="s">
        <v>162</v>
      </c>
      <c r="C34" s="265" t="s">
        <v>2004</v>
      </c>
      <c r="D34" s="266">
        <v>414102100</v>
      </c>
      <c r="E34" s="266">
        <v>100</v>
      </c>
      <c r="F34" s="265" t="s">
        <v>1624</v>
      </c>
      <c r="G34" s="266">
        <v>20</v>
      </c>
      <c r="H34" s="267">
        <f t="shared" si="18"/>
        <v>7.33</v>
      </c>
      <c r="I34" s="267">
        <f t="shared" si="1"/>
        <v>146.6</v>
      </c>
      <c r="J34" s="267">
        <f t="shared" si="2"/>
        <v>33.717999999999989</v>
      </c>
      <c r="K34" s="268">
        <v>0.23</v>
      </c>
      <c r="L34" s="267">
        <f t="shared" si="3"/>
        <v>180.31799999999998</v>
      </c>
      <c r="M34" s="269"/>
      <c r="N34" s="269">
        <f>ROUND(O34*1.15,2)</f>
        <v>7.33</v>
      </c>
      <c r="O34" s="270">
        <f>P34*0.75</f>
        <v>6.375</v>
      </c>
      <c r="P34" s="271">
        <v>8.5</v>
      </c>
      <c r="Q34" s="272">
        <v>414102100</v>
      </c>
      <c r="R34" s="272" t="s">
        <v>1972</v>
      </c>
      <c r="S34" s="267" t="s">
        <v>1957</v>
      </c>
      <c r="T34" s="269"/>
      <c r="U34" s="269"/>
      <c r="V34" s="269"/>
      <c r="W34" s="269"/>
      <c r="X34" s="219"/>
      <c r="Y34" s="303"/>
      <c r="Z34" s="274">
        <f t="shared" si="26"/>
        <v>7.82</v>
      </c>
      <c r="AC34" s="270">
        <f>AD34*0.8</f>
        <v>6.8000000000000007</v>
      </c>
      <c r="AD34" s="270">
        <v>8.5</v>
      </c>
      <c r="AE34" s="304">
        <v>414102100</v>
      </c>
      <c r="AF34" s="272" t="s">
        <v>1972</v>
      </c>
      <c r="AN34" s="210">
        <f t="shared" si="8"/>
        <v>7.0125000000000002</v>
      </c>
      <c r="AO34" s="210">
        <f t="shared" si="9"/>
        <v>140.25</v>
      </c>
    </row>
    <row r="35" spans="2:41" ht="38.25">
      <c r="B35" s="264" t="s">
        <v>166</v>
      </c>
      <c r="C35" s="265" t="s">
        <v>2004</v>
      </c>
      <c r="D35" s="266">
        <v>414102250</v>
      </c>
      <c r="E35" s="266">
        <v>250</v>
      </c>
      <c r="F35" s="265" t="s">
        <v>708</v>
      </c>
      <c r="G35" s="266">
        <v>20</v>
      </c>
      <c r="H35" s="267">
        <f t="shared" si="18"/>
        <v>8.25</v>
      </c>
      <c r="I35" s="267">
        <f t="shared" si="1"/>
        <v>165</v>
      </c>
      <c r="J35" s="267">
        <f t="shared" si="2"/>
        <v>37.949999999999989</v>
      </c>
      <c r="K35" s="268">
        <v>0.23</v>
      </c>
      <c r="L35" s="267">
        <f t="shared" si="3"/>
        <v>202.95</v>
      </c>
      <c r="M35" s="269"/>
      <c r="N35" s="269">
        <f t="shared" ref="N35:N41" si="28">ROUND(O35*1.15,2)</f>
        <v>8.25</v>
      </c>
      <c r="O35" s="270">
        <f t="shared" ref="O35:O43" si="29">P35*0.75</f>
        <v>7.1775000000000002</v>
      </c>
      <c r="P35" s="271">
        <v>9.57</v>
      </c>
      <c r="Q35" s="272">
        <v>414102250</v>
      </c>
      <c r="R35" s="272" t="s">
        <v>1972</v>
      </c>
      <c r="S35" s="267" t="s">
        <v>1957</v>
      </c>
      <c r="T35" s="269"/>
      <c r="U35" s="269"/>
      <c r="V35" s="269"/>
      <c r="W35" s="269"/>
      <c r="X35" s="219"/>
      <c r="Y35" s="303"/>
      <c r="Z35" s="274">
        <f t="shared" si="26"/>
        <v>8.8043999999999993</v>
      </c>
      <c r="AC35" s="270">
        <f>AD35*0.8</f>
        <v>7.6560000000000006</v>
      </c>
      <c r="AD35" s="270">
        <v>9.57</v>
      </c>
      <c r="AE35" s="304">
        <v>414102250</v>
      </c>
      <c r="AF35" s="272" t="s">
        <v>1972</v>
      </c>
      <c r="AN35" s="210">
        <f t="shared" si="8"/>
        <v>7.8952500000000008</v>
      </c>
      <c r="AO35" s="210">
        <f t="shared" si="9"/>
        <v>157.90500000000003</v>
      </c>
    </row>
    <row r="36" spans="2:41" ht="38.25">
      <c r="B36" s="264" t="s">
        <v>170</v>
      </c>
      <c r="C36" s="265" t="s">
        <v>2004</v>
      </c>
      <c r="D36" s="266">
        <v>414102500</v>
      </c>
      <c r="E36" s="266">
        <v>500</v>
      </c>
      <c r="F36" s="265" t="s">
        <v>708</v>
      </c>
      <c r="G36" s="266">
        <v>20</v>
      </c>
      <c r="H36" s="267">
        <f t="shared" si="18"/>
        <v>9.7799999999999994</v>
      </c>
      <c r="I36" s="267">
        <f t="shared" si="1"/>
        <v>195.6</v>
      </c>
      <c r="J36" s="267">
        <f t="shared" si="2"/>
        <v>44.988</v>
      </c>
      <c r="K36" s="268">
        <v>0.23</v>
      </c>
      <c r="L36" s="267">
        <f t="shared" si="3"/>
        <v>240.58799999999999</v>
      </c>
      <c r="M36" s="269"/>
      <c r="N36" s="269">
        <f t="shared" si="28"/>
        <v>9.7799999999999994</v>
      </c>
      <c r="O36" s="270">
        <f t="shared" si="29"/>
        <v>8.504999999999999</v>
      </c>
      <c r="P36" s="271">
        <v>11.34</v>
      </c>
      <c r="Q36" s="272">
        <v>414102500</v>
      </c>
      <c r="R36" s="272" t="s">
        <v>1972</v>
      </c>
      <c r="S36" s="267" t="s">
        <v>1957</v>
      </c>
      <c r="T36" s="269"/>
      <c r="U36" s="269"/>
      <c r="V36" s="269"/>
      <c r="W36" s="269"/>
      <c r="X36" s="219"/>
      <c r="Y36" s="303"/>
      <c r="Z36" s="274">
        <f t="shared" si="26"/>
        <v>10.4328</v>
      </c>
      <c r="AC36" s="270">
        <f t="shared" ref="AC36:AC41" si="30">AD36*0.8</f>
        <v>9.072000000000001</v>
      </c>
      <c r="AD36" s="270">
        <v>11.34</v>
      </c>
      <c r="AE36" s="304">
        <v>414102500</v>
      </c>
      <c r="AF36" s="272" t="s">
        <v>1972</v>
      </c>
      <c r="AN36" s="210">
        <f t="shared" si="8"/>
        <v>9.3554999999999993</v>
      </c>
      <c r="AO36" s="210">
        <f t="shared" si="9"/>
        <v>187.10999999999999</v>
      </c>
    </row>
    <row r="37" spans="2:41" ht="38.25">
      <c r="B37" s="264" t="s">
        <v>174</v>
      </c>
      <c r="C37" s="265" t="s">
        <v>2005</v>
      </c>
      <c r="D37" s="266">
        <v>414102940</v>
      </c>
      <c r="E37" s="266">
        <v>1000</v>
      </c>
      <c r="F37" s="265" t="s">
        <v>708</v>
      </c>
      <c r="G37" s="266">
        <v>20</v>
      </c>
      <c r="H37" s="267">
        <f t="shared" si="18"/>
        <v>12.38</v>
      </c>
      <c r="I37" s="267">
        <f t="shared" si="1"/>
        <v>247.60000000000002</v>
      </c>
      <c r="J37" s="267">
        <f t="shared" si="2"/>
        <v>56.947999999999979</v>
      </c>
      <c r="K37" s="268">
        <v>0.23</v>
      </c>
      <c r="L37" s="267">
        <f t="shared" si="3"/>
        <v>304.548</v>
      </c>
      <c r="M37" s="269"/>
      <c r="N37" s="269">
        <f t="shared" si="28"/>
        <v>12.38</v>
      </c>
      <c r="O37" s="270">
        <f t="shared" si="29"/>
        <v>10.762499999999999</v>
      </c>
      <c r="P37" s="271">
        <v>14.35</v>
      </c>
      <c r="Q37" s="272">
        <v>414102940</v>
      </c>
      <c r="R37" s="272" t="s">
        <v>1972</v>
      </c>
      <c r="S37" s="267" t="s">
        <v>1957</v>
      </c>
      <c r="T37" s="269"/>
      <c r="U37" s="269"/>
      <c r="V37" s="269"/>
      <c r="W37" s="269"/>
      <c r="X37" s="219"/>
      <c r="Y37" s="303"/>
      <c r="Z37" s="274">
        <f t="shared" si="26"/>
        <v>13.202</v>
      </c>
      <c r="AC37" s="270">
        <f t="shared" si="30"/>
        <v>11.48</v>
      </c>
      <c r="AD37" s="270">
        <v>14.35</v>
      </c>
      <c r="AE37" s="304">
        <v>414102940</v>
      </c>
      <c r="AF37" s="272" t="s">
        <v>1972</v>
      </c>
      <c r="AN37" s="210">
        <f t="shared" si="8"/>
        <v>11.838750000000001</v>
      </c>
      <c r="AO37" s="210">
        <f t="shared" si="9"/>
        <v>236.77500000000003</v>
      </c>
    </row>
    <row r="38" spans="2:41" ht="38.25">
      <c r="B38" s="264" t="s">
        <v>178</v>
      </c>
      <c r="C38" s="265" t="s">
        <v>2006</v>
      </c>
      <c r="D38" s="266">
        <v>414104100</v>
      </c>
      <c r="E38" s="266">
        <v>100</v>
      </c>
      <c r="F38" s="265" t="s">
        <v>708</v>
      </c>
      <c r="G38" s="266">
        <v>20</v>
      </c>
      <c r="H38" s="267">
        <f t="shared" si="18"/>
        <v>6.87</v>
      </c>
      <c r="I38" s="267">
        <f t="shared" si="1"/>
        <v>137.4</v>
      </c>
      <c r="J38" s="267">
        <f t="shared" si="2"/>
        <v>31.602000000000004</v>
      </c>
      <c r="K38" s="268">
        <v>0.23</v>
      </c>
      <c r="L38" s="267">
        <f t="shared" si="3"/>
        <v>169.00200000000001</v>
      </c>
      <c r="M38" s="269"/>
      <c r="N38" s="269">
        <f t="shared" si="28"/>
        <v>6.87</v>
      </c>
      <c r="O38" s="270">
        <f t="shared" si="29"/>
        <v>5.9775</v>
      </c>
      <c r="P38" s="271">
        <v>7.97</v>
      </c>
      <c r="Q38" s="272">
        <v>414104100</v>
      </c>
      <c r="R38" s="272" t="s">
        <v>1972</v>
      </c>
      <c r="S38" s="267" t="s">
        <v>1957</v>
      </c>
      <c r="T38" s="269"/>
      <c r="U38" s="269"/>
      <c r="V38" s="269"/>
      <c r="W38" s="269"/>
      <c r="X38" s="219"/>
      <c r="Y38" s="303"/>
      <c r="Z38" s="274">
        <f t="shared" si="26"/>
        <v>7.3323999999999998</v>
      </c>
      <c r="AC38" s="270">
        <f t="shared" si="30"/>
        <v>6.3760000000000003</v>
      </c>
      <c r="AD38" s="270">
        <v>7.97</v>
      </c>
      <c r="AE38" s="304">
        <v>414104100</v>
      </c>
      <c r="AF38" s="272" t="s">
        <v>1972</v>
      </c>
      <c r="AN38" s="210">
        <f t="shared" si="8"/>
        <v>6.5752500000000005</v>
      </c>
      <c r="AO38" s="210">
        <f t="shared" si="9"/>
        <v>131.505</v>
      </c>
    </row>
    <row r="39" spans="2:41" ht="38.25">
      <c r="B39" s="264" t="s">
        <v>182</v>
      </c>
      <c r="C39" s="265" t="s">
        <v>2006</v>
      </c>
      <c r="D39" s="266">
        <v>414104250</v>
      </c>
      <c r="E39" s="266">
        <v>250</v>
      </c>
      <c r="F39" s="265" t="s">
        <v>708</v>
      </c>
      <c r="G39" s="266">
        <v>20</v>
      </c>
      <c r="H39" s="267">
        <f t="shared" si="18"/>
        <v>8.1</v>
      </c>
      <c r="I39" s="267">
        <f t="shared" si="1"/>
        <v>162</v>
      </c>
      <c r="J39" s="267">
        <f t="shared" si="2"/>
        <v>37.259999999999991</v>
      </c>
      <c r="K39" s="268">
        <v>0.23</v>
      </c>
      <c r="L39" s="267">
        <f t="shared" si="3"/>
        <v>199.26</v>
      </c>
      <c r="M39" s="269"/>
      <c r="N39" s="269">
        <f t="shared" si="28"/>
        <v>8.1</v>
      </c>
      <c r="O39" s="270">
        <f t="shared" si="29"/>
        <v>7.0425000000000004</v>
      </c>
      <c r="P39" s="271">
        <v>9.39</v>
      </c>
      <c r="Q39" s="272">
        <v>414104250</v>
      </c>
      <c r="R39" s="272" t="s">
        <v>1972</v>
      </c>
      <c r="S39" s="267" t="s">
        <v>1957</v>
      </c>
      <c r="T39" s="269"/>
      <c r="U39" s="269"/>
      <c r="V39" s="269"/>
      <c r="W39" s="269"/>
      <c r="X39" s="219"/>
      <c r="Y39" s="303"/>
      <c r="Z39" s="274">
        <f t="shared" si="26"/>
        <v>8.6387999999999998</v>
      </c>
      <c r="AC39" s="270">
        <f t="shared" si="30"/>
        <v>7.5120000000000005</v>
      </c>
      <c r="AD39" s="270">
        <v>9.39</v>
      </c>
      <c r="AE39" s="304">
        <v>414104250</v>
      </c>
      <c r="AF39" s="272" t="s">
        <v>1972</v>
      </c>
      <c r="AN39" s="210">
        <f t="shared" si="8"/>
        <v>7.7467500000000014</v>
      </c>
      <c r="AO39" s="210">
        <f t="shared" si="9"/>
        <v>154.93500000000003</v>
      </c>
    </row>
    <row r="40" spans="2:41" ht="38.25">
      <c r="B40" s="264" t="s">
        <v>189</v>
      </c>
      <c r="C40" s="265" t="s">
        <v>2006</v>
      </c>
      <c r="D40" s="266">
        <v>414104500</v>
      </c>
      <c r="E40" s="266">
        <v>500</v>
      </c>
      <c r="F40" s="265" t="s">
        <v>708</v>
      </c>
      <c r="G40" s="266">
        <v>20</v>
      </c>
      <c r="H40" s="267">
        <f t="shared" si="18"/>
        <v>10.39</v>
      </c>
      <c r="I40" s="267">
        <f t="shared" si="1"/>
        <v>207.8</v>
      </c>
      <c r="J40" s="267">
        <f t="shared" si="2"/>
        <v>47.794000000000011</v>
      </c>
      <c r="K40" s="268">
        <v>0.23</v>
      </c>
      <c r="L40" s="267">
        <f t="shared" si="3"/>
        <v>255.59400000000002</v>
      </c>
      <c r="M40" s="269"/>
      <c r="N40" s="269">
        <f t="shared" si="28"/>
        <v>10.39</v>
      </c>
      <c r="O40" s="270">
        <f t="shared" si="29"/>
        <v>9.0375000000000014</v>
      </c>
      <c r="P40" s="271">
        <v>12.05</v>
      </c>
      <c r="Q40" s="272">
        <v>414104500</v>
      </c>
      <c r="R40" s="272" t="s">
        <v>1972</v>
      </c>
      <c r="S40" s="267" t="s">
        <v>1957</v>
      </c>
      <c r="T40" s="269"/>
      <c r="U40" s="269"/>
      <c r="V40" s="269"/>
      <c r="W40" s="269"/>
      <c r="X40" s="219"/>
      <c r="Y40" s="303"/>
      <c r="Z40" s="274">
        <f t="shared" si="26"/>
        <v>11.086</v>
      </c>
      <c r="AC40" s="270">
        <f t="shared" si="30"/>
        <v>9.64</v>
      </c>
      <c r="AD40" s="270">
        <v>12.05</v>
      </c>
      <c r="AE40" s="304">
        <v>414104500</v>
      </c>
      <c r="AF40" s="272" t="s">
        <v>1972</v>
      </c>
      <c r="AN40" s="210">
        <f t="shared" si="8"/>
        <v>9.9412500000000019</v>
      </c>
      <c r="AO40" s="210">
        <f t="shared" si="9"/>
        <v>198.82500000000005</v>
      </c>
    </row>
    <row r="41" spans="2:41" ht="38.25">
      <c r="B41" s="264" t="s">
        <v>194</v>
      </c>
      <c r="C41" s="265" t="s">
        <v>2006</v>
      </c>
      <c r="D41" s="266">
        <v>414104940</v>
      </c>
      <c r="E41" s="266">
        <v>1000</v>
      </c>
      <c r="F41" s="265" t="s">
        <v>708</v>
      </c>
      <c r="G41" s="266">
        <v>10</v>
      </c>
      <c r="H41" s="267">
        <f t="shared" si="18"/>
        <v>13.75</v>
      </c>
      <c r="I41" s="267">
        <f t="shared" si="1"/>
        <v>137.5</v>
      </c>
      <c r="J41" s="267">
        <f t="shared" si="2"/>
        <v>31.625</v>
      </c>
      <c r="K41" s="268">
        <v>0.23</v>
      </c>
      <c r="L41" s="267">
        <f t="shared" si="3"/>
        <v>169.125</v>
      </c>
      <c r="M41" s="269"/>
      <c r="N41" s="269">
        <f t="shared" si="28"/>
        <v>13.75</v>
      </c>
      <c r="O41" s="270">
        <f t="shared" si="29"/>
        <v>11.955</v>
      </c>
      <c r="P41" s="271">
        <v>15.94</v>
      </c>
      <c r="Q41" s="272">
        <v>414104940</v>
      </c>
      <c r="R41" s="272" t="s">
        <v>1972</v>
      </c>
      <c r="S41" s="267" t="s">
        <v>1957</v>
      </c>
      <c r="T41" s="269"/>
      <c r="U41" s="269"/>
      <c r="V41" s="269"/>
      <c r="W41" s="269"/>
      <c r="X41" s="219"/>
      <c r="Y41" s="303"/>
      <c r="Z41" s="274">
        <f t="shared" si="26"/>
        <v>14.6648</v>
      </c>
      <c r="AC41" s="270">
        <f t="shared" si="30"/>
        <v>12.752000000000001</v>
      </c>
      <c r="AD41" s="270">
        <v>15.94</v>
      </c>
      <c r="AE41" s="304">
        <v>414104940</v>
      </c>
      <c r="AF41" s="272" t="s">
        <v>1972</v>
      </c>
      <c r="AN41" s="210">
        <f t="shared" si="8"/>
        <v>13.150500000000001</v>
      </c>
      <c r="AO41" s="210">
        <f t="shared" si="9"/>
        <v>131.505</v>
      </c>
    </row>
    <row r="42" spans="2:41" ht="45">
      <c r="B42" s="264" t="s">
        <v>197</v>
      </c>
      <c r="C42" s="265" t="s">
        <v>2007</v>
      </c>
      <c r="D42" s="266">
        <v>414812500</v>
      </c>
      <c r="E42" s="266">
        <v>500</v>
      </c>
      <c r="F42" s="265" t="s">
        <v>708</v>
      </c>
      <c r="G42" s="266">
        <v>20</v>
      </c>
      <c r="H42" s="267">
        <f t="shared" si="18"/>
        <v>19.12</v>
      </c>
      <c r="I42" s="267">
        <f t="shared" si="1"/>
        <v>382.40000000000003</v>
      </c>
      <c r="J42" s="267">
        <f t="shared" si="2"/>
        <v>87.951999999999998</v>
      </c>
      <c r="K42" s="268">
        <v>0.23</v>
      </c>
      <c r="L42" s="267">
        <f t="shared" si="3"/>
        <v>470.35200000000003</v>
      </c>
      <c r="M42" s="269"/>
      <c r="N42" s="269">
        <f>ROUND(O42*1.06,2)</f>
        <v>19.12</v>
      </c>
      <c r="O42" s="270">
        <f t="shared" si="29"/>
        <v>18.037500000000001</v>
      </c>
      <c r="P42" s="271">
        <v>24.05</v>
      </c>
      <c r="Q42" s="272">
        <v>414812500</v>
      </c>
      <c r="R42" s="272" t="s">
        <v>1972</v>
      </c>
      <c r="S42" s="267" t="s">
        <v>1957</v>
      </c>
      <c r="T42" s="269"/>
      <c r="U42" s="269"/>
      <c r="V42" s="269"/>
      <c r="W42" s="269"/>
      <c r="X42" s="219"/>
      <c r="Y42" s="303">
        <v>21.64</v>
      </c>
      <c r="Z42" s="274">
        <f t="shared" si="26"/>
        <v>20.294625</v>
      </c>
      <c r="AC42" s="270">
        <f>AD42*0.75</f>
        <v>17.647500000000001</v>
      </c>
      <c r="AD42" s="270">
        <v>23.53</v>
      </c>
      <c r="AE42" s="272" t="s">
        <v>2008</v>
      </c>
      <c r="AF42" s="305" t="s">
        <v>2009</v>
      </c>
      <c r="AH42" s="306">
        <v>632414812500</v>
      </c>
      <c r="AI42" s="307" t="s">
        <v>2010</v>
      </c>
      <c r="AJ42" s="308" t="s">
        <v>2011</v>
      </c>
      <c r="AN42" s="210">
        <f t="shared" si="8"/>
        <v>19.841250000000002</v>
      </c>
      <c r="AO42" s="210">
        <f t="shared" si="9"/>
        <v>396.82500000000005</v>
      </c>
    </row>
    <row r="43" spans="2:41" ht="51">
      <c r="B43" s="264" t="s">
        <v>200</v>
      </c>
      <c r="C43" s="265" t="s">
        <v>2012</v>
      </c>
      <c r="D43" s="266">
        <v>414812940</v>
      </c>
      <c r="E43" s="266">
        <v>1000</v>
      </c>
      <c r="F43" s="265" t="s">
        <v>708</v>
      </c>
      <c r="G43" s="266">
        <v>20</v>
      </c>
      <c r="H43" s="267">
        <f t="shared" si="18"/>
        <v>22.55</v>
      </c>
      <c r="I43" s="267">
        <f t="shared" si="1"/>
        <v>451</v>
      </c>
      <c r="J43" s="267">
        <f t="shared" si="2"/>
        <v>103.73000000000002</v>
      </c>
      <c r="K43" s="268">
        <v>0.23</v>
      </c>
      <c r="L43" s="267">
        <f t="shared" si="3"/>
        <v>554.73</v>
      </c>
      <c r="M43" s="269"/>
      <c r="N43" s="269">
        <f>ROUND(O43*1.06,2)</f>
        <v>22.55</v>
      </c>
      <c r="O43" s="270">
        <f t="shared" si="29"/>
        <v>21.2775</v>
      </c>
      <c r="P43" s="271">
        <v>28.37</v>
      </c>
      <c r="Q43" s="272">
        <v>414812940</v>
      </c>
      <c r="R43" s="272" t="s">
        <v>1972</v>
      </c>
      <c r="S43" s="267" t="s">
        <v>1957</v>
      </c>
      <c r="T43" s="269"/>
      <c r="U43" s="269"/>
      <c r="V43" s="269"/>
      <c r="W43" s="269"/>
      <c r="X43" s="219"/>
      <c r="Y43" s="273">
        <v>25.46</v>
      </c>
      <c r="Z43" s="274">
        <f t="shared" si="26"/>
        <v>23.865375</v>
      </c>
      <c r="AC43" s="270">
        <f>AD43*0.75</f>
        <v>20.752500000000001</v>
      </c>
      <c r="AD43" s="270">
        <v>27.67</v>
      </c>
      <c r="AE43" s="272" t="s">
        <v>2013</v>
      </c>
      <c r="AF43" s="305" t="s">
        <v>2009</v>
      </c>
      <c r="AH43" s="306">
        <v>632414812940</v>
      </c>
      <c r="AI43" s="307" t="s">
        <v>2014</v>
      </c>
      <c r="AJ43" s="308" t="s">
        <v>2015</v>
      </c>
      <c r="AN43" s="210">
        <f t="shared" si="8"/>
        <v>23.405250000000002</v>
      </c>
      <c r="AO43" s="210">
        <f t="shared" si="9"/>
        <v>468.10500000000002</v>
      </c>
    </row>
    <row r="44" spans="2:41" s="7" customFormat="1" ht="45">
      <c r="B44" s="264" t="s">
        <v>203</v>
      </c>
      <c r="C44" s="276" t="s">
        <v>2016</v>
      </c>
      <c r="D44" s="264" t="s">
        <v>2017</v>
      </c>
      <c r="E44" s="264" t="s">
        <v>2018</v>
      </c>
      <c r="F44" s="276" t="s">
        <v>708</v>
      </c>
      <c r="G44" s="264">
        <v>5</v>
      </c>
      <c r="H44" s="267">
        <f>N44*1</f>
        <v>112.34</v>
      </c>
      <c r="I44" s="267">
        <f t="shared" si="1"/>
        <v>561.70000000000005</v>
      </c>
      <c r="J44" s="267">
        <f t="shared" si="2"/>
        <v>129.19100000000003</v>
      </c>
      <c r="K44" s="268">
        <v>0.23</v>
      </c>
      <c r="L44" s="267">
        <f t="shared" si="3"/>
        <v>690.89100000000008</v>
      </c>
      <c r="M44" s="281"/>
      <c r="N44" s="269">
        <f>ROUND(O44*1.02,2)</f>
        <v>112.34</v>
      </c>
      <c r="O44" s="278">
        <v>110.14</v>
      </c>
      <c r="P44" s="278"/>
      <c r="Q44" s="309" t="s">
        <v>2017</v>
      </c>
      <c r="R44" s="310" t="s">
        <v>1366</v>
      </c>
      <c r="S44" s="311" t="s">
        <v>1957</v>
      </c>
      <c r="T44" s="281">
        <f>U44*1.2</f>
        <v>23.255999999999997</v>
      </c>
      <c r="U44" s="281">
        <f>ROUND(V44*1.02,2)</f>
        <v>19.38</v>
      </c>
      <c r="V44" s="281">
        <v>19</v>
      </c>
      <c r="W44" s="281"/>
      <c r="X44" s="282"/>
      <c r="Y44" s="283">
        <v>53.71</v>
      </c>
      <c r="Z44" s="312">
        <f>AC44*1.105</f>
        <v>19.89</v>
      </c>
      <c r="AC44" s="278">
        <v>18</v>
      </c>
      <c r="AD44" s="277"/>
      <c r="AE44" s="313"/>
      <c r="AF44" s="314" t="s">
        <v>2019</v>
      </c>
      <c r="AH44" s="314" t="s">
        <v>2020</v>
      </c>
      <c r="AI44" s="314"/>
      <c r="AN44" s="210">
        <f t="shared" si="8"/>
        <v>121.15400000000001</v>
      </c>
      <c r="AO44" s="210">
        <f t="shared" si="9"/>
        <v>605.7700000000001</v>
      </c>
    </row>
    <row r="45" spans="2:41" s="7" customFormat="1" ht="38.25">
      <c r="B45" s="264" t="s">
        <v>207</v>
      </c>
      <c r="C45" s="276" t="s">
        <v>2021</v>
      </c>
      <c r="D45" s="264">
        <v>415046956</v>
      </c>
      <c r="E45" s="264">
        <v>5000</v>
      </c>
      <c r="F45" s="276" t="s">
        <v>708</v>
      </c>
      <c r="G45" s="264">
        <v>3</v>
      </c>
      <c r="H45" s="267">
        <v>101.55</v>
      </c>
      <c r="I45" s="267">
        <f t="shared" si="1"/>
        <v>304.64999999999998</v>
      </c>
      <c r="J45" s="267">
        <f t="shared" si="2"/>
        <v>70.069500000000005</v>
      </c>
      <c r="K45" s="268">
        <v>0.23</v>
      </c>
      <c r="L45" s="267">
        <f t="shared" si="3"/>
        <v>374.71949999999998</v>
      </c>
      <c r="M45" s="281"/>
      <c r="N45" s="269">
        <f>ROUND(O45*1.01,2)</f>
        <v>246.91</v>
      </c>
      <c r="O45" s="277">
        <f>P45*0.75</f>
        <v>244.46249999999998</v>
      </c>
      <c r="P45" s="278">
        <v>325.95</v>
      </c>
      <c r="Q45" s="280">
        <v>415046956</v>
      </c>
      <c r="R45" s="315" t="s">
        <v>1972</v>
      </c>
      <c r="S45" s="316" t="s">
        <v>2022</v>
      </c>
      <c r="T45" s="281"/>
      <c r="U45" s="281"/>
      <c r="V45" s="281"/>
      <c r="W45" s="281"/>
      <c r="X45" s="282"/>
      <c r="Y45" s="283"/>
      <c r="Z45" s="312">
        <f>AC45*1.15</f>
        <v>299.87399999999997</v>
      </c>
      <c r="AC45" s="278">
        <f>AD45*0.8</f>
        <v>260.76</v>
      </c>
      <c r="AD45" s="277">
        <v>325.95</v>
      </c>
      <c r="AE45" s="313"/>
      <c r="AF45" s="314"/>
      <c r="AH45" s="317"/>
      <c r="AI45" s="317"/>
      <c r="AN45" s="210">
        <f t="shared" si="8"/>
        <v>268.90875</v>
      </c>
      <c r="AO45" s="210">
        <f t="shared" si="9"/>
        <v>806.72624999999994</v>
      </c>
    </row>
    <row r="46" spans="2:41" ht="15.75">
      <c r="B46" s="264" t="s">
        <v>210</v>
      </c>
      <c r="C46" s="265" t="s">
        <v>2023</v>
      </c>
      <c r="D46" s="266" t="s">
        <v>2024</v>
      </c>
      <c r="E46" s="266">
        <v>10</v>
      </c>
      <c r="F46" s="265" t="s">
        <v>708</v>
      </c>
      <c r="G46" s="266">
        <v>20</v>
      </c>
      <c r="H46" s="267">
        <f>N46*1</f>
        <v>6</v>
      </c>
      <c r="I46" s="267">
        <f t="shared" si="1"/>
        <v>120</v>
      </c>
      <c r="J46" s="267">
        <f t="shared" si="2"/>
        <v>27.599999999999994</v>
      </c>
      <c r="K46" s="268">
        <v>0.23</v>
      </c>
      <c r="L46" s="267">
        <f t="shared" si="3"/>
        <v>147.6</v>
      </c>
      <c r="M46" s="269"/>
      <c r="N46" s="269">
        <f>ROUND(O46*1.14,2)</f>
        <v>6</v>
      </c>
      <c r="O46" s="270">
        <f>P46*0.65</f>
        <v>5.2649999999999997</v>
      </c>
      <c r="P46" s="271">
        <v>8.1</v>
      </c>
      <c r="Q46" s="272" t="s">
        <v>2024</v>
      </c>
      <c r="R46" s="272" t="s">
        <v>1944</v>
      </c>
      <c r="S46" s="269"/>
      <c r="T46" s="269"/>
      <c r="U46" s="269"/>
      <c r="V46" s="269"/>
      <c r="W46" s="269"/>
      <c r="X46" s="219"/>
      <c r="Y46" s="273">
        <v>1.85</v>
      </c>
      <c r="Z46" s="274">
        <f t="shared" si="26"/>
        <v>5.8684499999999993</v>
      </c>
      <c r="AC46" s="270">
        <f>AD46*0.63</f>
        <v>5.1029999999999998</v>
      </c>
      <c r="AD46" s="318">
        <v>8.1</v>
      </c>
      <c r="AE46" s="275" t="s">
        <v>2024</v>
      </c>
      <c r="AF46" s="319" t="s">
        <v>1944</v>
      </c>
      <c r="AN46" s="210">
        <f t="shared" si="8"/>
        <v>5.7915000000000001</v>
      </c>
      <c r="AO46" s="210">
        <f t="shared" si="9"/>
        <v>115.83</v>
      </c>
    </row>
    <row r="47" spans="2:41" ht="15.75">
      <c r="B47" s="264" t="s">
        <v>214</v>
      </c>
      <c r="C47" s="265" t="s">
        <v>2023</v>
      </c>
      <c r="D47" s="266" t="s">
        <v>2025</v>
      </c>
      <c r="E47" s="266">
        <v>25</v>
      </c>
      <c r="F47" s="265" t="s">
        <v>708</v>
      </c>
      <c r="G47" s="266">
        <v>20</v>
      </c>
      <c r="H47" s="267">
        <f t="shared" ref="H47:H56" si="31">N47*1</f>
        <v>6.15</v>
      </c>
      <c r="I47" s="267">
        <f t="shared" si="1"/>
        <v>123</v>
      </c>
      <c r="J47" s="267">
        <f t="shared" si="2"/>
        <v>28.289999999999992</v>
      </c>
      <c r="K47" s="268">
        <v>0.23</v>
      </c>
      <c r="L47" s="267">
        <f t="shared" si="3"/>
        <v>151.29</v>
      </c>
      <c r="M47" s="269"/>
      <c r="N47" s="269">
        <f t="shared" ref="N47:N52" si="32">ROUND(O47*1.14,2)</f>
        <v>6.15</v>
      </c>
      <c r="O47" s="270">
        <f t="shared" ref="O47:O53" si="33">P47*0.65</f>
        <v>5.3950000000000005</v>
      </c>
      <c r="P47" s="271">
        <v>8.3000000000000007</v>
      </c>
      <c r="Q47" s="272" t="s">
        <v>2025</v>
      </c>
      <c r="R47" s="272" t="s">
        <v>1944</v>
      </c>
      <c r="S47" s="269"/>
      <c r="T47" s="269"/>
      <c r="U47" s="269"/>
      <c r="V47" s="269"/>
      <c r="W47" s="269"/>
      <c r="X47" s="219"/>
      <c r="Y47" s="273">
        <v>2.17</v>
      </c>
      <c r="Z47" s="274">
        <f t="shared" si="26"/>
        <v>6.01335</v>
      </c>
      <c r="AC47" s="270">
        <f t="shared" ref="AC47:AC52" si="34">AD47*0.63</f>
        <v>5.2290000000000001</v>
      </c>
      <c r="AD47" s="318">
        <v>8.3000000000000007</v>
      </c>
      <c r="AE47" s="275" t="s">
        <v>2025</v>
      </c>
      <c r="AF47" s="319" t="s">
        <v>1944</v>
      </c>
      <c r="AN47" s="210">
        <f t="shared" si="8"/>
        <v>5.9345000000000008</v>
      </c>
      <c r="AO47" s="210">
        <f t="shared" si="9"/>
        <v>118.69000000000001</v>
      </c>
    </row>
    <row r="48" spans="2:41" ht="15.75">
      <c r="B48" s="264" t="s">
        <v>218</v>
      </c>
      <c r="C48" s="265" t="s">
        <v>2023</v>
      </c>
      <c r="D48" s="266" t="s">
        <v>2026</v>
      </c>
      <c r="E48" s="266">
        <v>50</v>
      </c>
      <c r="F48" s="265" t="s">
        <v>708</v>
      </c>
      <c r="G48" s="266">
        <v>5</v>
      </c>
      <c r="H48" s="267">
        <f t="shared" si="31"/>
        <v>7.04</v>
      </c>
      <c r="I48" s="267">
        <f t="shared" si="1"/>
        <v>35.200000000000003</v>
      </c>
      <c r="J48" s="267">
        <f t="shared" si="2"/>
        <v>8.0960000000000036</v>
      </c>
      <c r="K48" s="268">
        <v>0.23</v>
      </c>
      <c r="L48" s="267">
        <f t="shared" si="3"/>
        <v>43.296000000000006</v>
      </c>
      <c r="M48" s="269"/>
      <c r="N48" s="269">
        <f t="shared" si="32"/>
        <v>7.04</v>
      </c>
      <c r="O48" s="270">
        <f t="shared" si="33"/>
        <v>6.1749999999999998</v>
      </c>
      <c r="P48" s="271">
        <v>9.5</v>
      </c>
      <c r="Q48" s="272" t="s">
        <v>2026</v>
      </c>
      <c r="R48" s="272" t="s">
        <v>1944</v>
      </c>
      <c r="S48" s="269"/>
      <c r="T48" s="269"/>
      <c r="U48" s="269"/>
      <c r="V48" s="269"/>
      <c r="W48" s="269"/>
      <c r="X48" s="219"/>
      <c r="Y48" s="297">
        <v>2.7</v>
      </c>
      <c r="Z48" s="298">
        <f>AC48*1.15</f>
        <v>6.8827499999999997</v>
      </c>
      <c r="AA48" s="299"/>
      <c r="AB48" s="300"/>
      <c r="AC48" s="301">
        <f t="shared" si="34"/>
        <v>5.9850000000000003</v>
      </c>
      <c r="AD48" s="320">
        <v>9.5</v>
      </c>
      <c r="AE48" s="275" t="s">
        <v>2026</v>
      </c>
      <c r="AF48" s="321" t="s">
        <v>1944</v>
      </c>
      <c r="AN48" s="210">
        <f t="shared" si="8"/>
        <v>6.7925000000000004</v>
      </c>
      <c r="AO48" s="210">
        <f t="shared" si="9"/>
        <v>33.962500000000006</v>
      </c>
    </row>
    <row r="49" spans="2:41" ht="15.75">
      <c r="B49" s="264" t="s">
        <v>222</v>
      </c>
      <c r="C49" s="265" t="s">
        <v>2023</v>
      </c>
      <c r="D49" s="266" t="s">
        <v>2027</v>
      </c>
      <c r="E49" s="266">
        <v>100</v>
      </c>
      <c r="F49" s="265" t="s">
        <v>708</v>
      </c>
      <c r="G49" s="266">
        <v>15</v>
      </c>
      <c r="H49" s="267">
        <f t="shared" si="31"/>
        <v>8.89</v>
      </c>
      <c r="I49" s="267">
        <f t="shared" si="1"/>
        <v>133.35000000000002</v>
      </c>
      <c r="J49" s="267">
        <f t="shared" si="2"/>
        <v>30.670500000000004</v>
      </c>
      <c r="K49" s="268">
        <v>0.23</v>
      </c>
      <c r="L49" s="267">
        <f t="shared" si="3"/>
        <v>164.02050000000003</v>
      </c>
      <c r="M49" s="269"/>
      <c r="N49" s="269">
        <f t="shared" si="32"/>
        <v>8.89</v>
      </c>
      <c r="O49" s="270">
        <f t="shared" si="33"/>
        <v>7.8000000000000007</v>
      </c>
      <c r="P49" s="271">
        <v>12</v>
      </c>
      <c r="Q49" s="272" t="s">
        <v>2027</v>
      </c>
      <c r="R49" s="272" t="s">
        <v>1944</v>
      </c>
      <c r="S49" s="269"/>
      <c r="T49" s="269"/>
      <c r="U49" s="269"/>
      <c r="V49" s="269"/>
      <c r="W49" s="269"/>
      <c r="X49" s="219"/>
      <c r="Y49" s="273">
        <v>2.81</v>
      </c>
      <c r="Z49" s="274">
        <f>AC49*1.15</f>
        <v>8.6939999999999991</v>
      </c>
      <c r="AC49" s="270">
        <f t="shared" si="34"/>
        <v>7.5600000000000005</v>
      </c>
      <c r="AD49" s="318">
        <v>12</v>
      </c>
      <c r="AE49" s="275" t="s">
        <v>2027</v>
      </c>
      <c r="AF49" s="319" t="s">
        <v>1944</v>
      </c>
      <c r="AN49" s="210">
        <f t="shared" si="8"/>
        <v>8.5800000000000018</v>
      </c>
      <c r="AO49" s="210">
        <f t="shared" si="9"/>
        <v>128.70000000000002</v>
      </c>
    </row>
    <row r="50" spans="2:41" ht="15.75">
      <c r="B50" s="264" t="s">
        <v>225</v>
      </c>
      <c r="C50" s="265" t="s">
        <v>2023</v>
      </c>
      <c r="D50" s="266" t="s">
        <v>2028</v>
      </c>
      <c r="E50" s="266">
        <v>250</v>
      </c>
      <c r="F50" s="265" t="s">
        <v>708</v>
      </c>
      <c r="G50" s="266">
        <v>40</v>
      </c>
      <c r="H50" s="267">
        <f t="shared" si="31"/>
        <v>14.08</v>
      </c>
      <c r="I50" s="267">
        <f t="shared" si="1"/>
        <v>563.20000000000005</v>
      </c>
      <c r="J50" s="267">
        <f t="shared" si="2"/>
        <v>129.53600000000006</v>
      </c>
      <c r="K50" s="268">
        <v>0.23</v>
      </c>
      <c r="L50" s="267">
        <f t="shared" si="3"/>
        <v>692.7360000000001</v>
      </c>
      <c r="M50" s="269"/>
      <c r="N50" s="269">
        <f t="shared" si="32"/>
        <v>14.08</v>
      </c>
      <c r="O50" s="270">
        <f t="shared" si="33"/>
        <v>12.35</v>
      </c>
      <c r="P50" s="271">
        <v>19</v>
      </c>
      <c r="Q50" s="272" t="s">
        <v>2028</v>
      </c>
      <c r="R50" s="272" t="s">
        <v>1944</v>
      </c>
      <c r="S50" s="269"/>
      <c r="T50" s="269"/>
      <c r="U50" s="269"/>
      <c r="V50" s="269"/>
      <c r="W50" s="269"/>
      <c r="X50" s="219"/>
      <c r="Y50" s="273">
        <v>5.07</v>
      </c>
      <c r="Z50" s="274">
        <f t="shared" ref="Z50:Z89" si="35">AC50*1.15</f>
        <v>13.765499999999999</v>
      </c>
      <c r="AC50" s="270">
        <f t="shared" si="34"/>
        <v>11.97</v>
      </c>
      <c r="AD50" s="270">
        <v>19</v>
      </c>
      <c r="AE50" s="275" t="s">
        <v>2028</v>
      </c>
      <c r="AF50" s="319" t="s">
        <v>1944</v>
      </c>
      <c r="AN50" s="210">
        <f t="shared" si="8"/>
        <v>13.585000000000001</v>
      </c>
      <c r="AO50" s="210">
        <f t="shared" si="9"/>
        <v>543.40000000000009</v>
      </c>
    </row>
    <row r="51" spans="2:41" ht="15.75">
      <c r="B51" s="264" t="s">
        <v>228</v>
      </c>
      <c r="C51" s="265" t="s">
        <v>2023</v>
      </c>
      <c r="D51" s="266" t="s">
        <v>2029</v>
      </c>
      <c r="E51" s="266">
        <v>500</v>
      </c>
      <c r="F51" s="265" t="s">
        <v>708</v>
      </c>
      <c r="G51" s="266">
        <v>40</v>
      </c>
      <c r="H51" s="267">
        <f t="shared" si="31"/>
        <v>22.23</v>
      </c>
      <c r="I51" s="267">
        <f t="shared" si="1"/>
        <v>889.2</v>
      </c>
      <c r="J51" s="267">
        <f t="shared" si="2"/>
        <v>204.51600000000008</v>
      </c>
      <c r="K51" s="268">
        <v>0.23</v>
      </c>
      <c r="L51" s="267">
        <f t="shared" si="3"/>
        <v>1093.7160000000001</v>
      </c>
      <c r="M51" s="269"/>
      <c r="N51" s="269">
        <f t="shared" si="32"/>
        <v>22.23</v>
      </c>
      <c r="O51" s="270">
        <f t="shared" si="33"/>
        <v>19.5</v>
      </c>
      <c r="P51" s="271">
        <v>30</v>
      </c>
      <c r="Q51" s="272" t="s">
        <v>2029</v>
      </c>
      <c r="R51" s="272" t="s">
        <v>1944</v>
      </c>
      <c r="S51" s="269"/>
      <c r="T51" s="269"/>
      <c r="U51" s="269"/>
      <c r="V51" s="269"/>
      <c r="W51" s="269"/>
      <c r="X51" s="219"/>
      <c r="Y51" s="273">
        <v>11.51</v>
      </c>
      <c r="Z51" s="274">
        <f t="shared" si="35"/>
        <v>21.734999999999996</v>
      </c>
      <c r="AC51" s="270">
        <f t="shared" si="34"/>
        <v>18.899999999999999</v>
      </c>
      <c r="AD51" s="270">
        <v>30</v>
      </c>
      <c r="AE51" s="275" t="s">
        <v>2029</v>
      </c>
      <c r="AF51" s="319" t="s">
        <v>1944</v>
      </c>
      <c r="AN51" s="210">
        <f t="shared" si="8"/>
        <v>21.450000000000003</v>
      </c>
      <c r="AO51" s="210">
        <f t="shared" si="9"/>
        <v>858.00000000000011</v>
      </c>
    </row>
    <row r="52" spans="2:41" ht="15.75">
      <c r="B52" s="264" t="s">
        <v>233</v>
      </c>
      <c r="C52" s="265" t="s">
        <v>2023</v>
      </c>
      <c r="D52" s="266" t="s">
        <v>2030</v>
      </c>
      <c r="E52" s="266">
        <v>1000</v>
      </c>
      <c r="F52" s="265" t="s">
        <v>708</v>
      </c>
      <c r="G52" s="266">
        <v>40</v>
      </c>
      <c r="H52" s="267">
        <f t="shared" si="31"/>
        <v>27.42</v>
      </c>
      <c r="I52" s="267">
        <f t="shared" si="1"/>
        <v>1096.8000000000002</v>
      </c>
      <c r="J52" s="267">
        <f t="shared" si="2"/>
        <v>252.26400000000012</v>
      </c>
      <c r="K52" s="268">
        <v>0.23</v>
      </c>
      <c r="L52" s="267">
        <f t="shared" si="3"/>
        <v>1349.0640000000003</v>
      </c>
      <c r="M52" s="269"/>
      <c r="N52" s="269">
        <f t="shared" si="32"/>
        <v>27.42</v>
      </c>
      <c r="O52" s="270">
        <f t="shared" si="33"/>
        <v>24.05</v>
      </c>
      <c r="P52" s="271">
        <v>37</v>
      </c>
      <c r="Q52" s="272" t="s">
        <v>2030</v>
      </c>
      <c r="R52" s="272" t="s">
        <v>1944</v>
      </c>
      <c r="S52" s="269"/>
      <c r="T52" s="269"/>
      <c r="U52" s="269"/>
      <c r="V52" s="269"/>
      <c r="W52" s="269"/>
      <c r="X52" s="219"/>
      <c r="Y52" s="273">
        <v>16.8</v>
      </c>
      <c r="Z52" s="274">
        <f t="shared" si="35"/>
        <v>26.806499999999996</v>
      </c>
      <c r="AC52" s="270">
        <f t="shared" si="34"/>
        <v>23.31</v>
      </c>
      <c r="AD52" s="270">
        <v>37</v>
      </c>
      <c r="AE52" s="275" t="s">
        <v>2030</v>
      </c>
      <c r="AF52" s="319" t="s">
        <v>1944</v>
      </c>
      <c r="AN52" s="210">
        <f t="shared" si="8"/>
        <v>26.455000000000002</v>
      </c>
      <c r="AO52" s="210">
        <f t="shared" si="9"/>
        <v>1058.2</v>
      </c>
    </row>
    <row r="53" spans="2:41" ht="15.75">
      <c r="B53" s="264" t="s">
        <v>241</v>
      </c>
      <c r="C53" s="265" t="s">
        <v>2023</v>
      </c>
      <c r="D53" s="266" t="s">
        <v>2031</v>
      </c>
      <c r="E53" s="266">
        <v>2000</v>
      </c>
      <c r="F53" s="265" t="s">
        <v>708</v>
      </c>
      <c r="G53" s="266">
        <v>10</v>
      </c>
      <c r="H53" s="267">
        <f t="shared" si="31"/>
        <v>54.6</v>
      </c>
      <c r="I53" s="267">
        <f t="shared" si="1"/>
        <v>546</v>
      </c>
      <c r="J53" s="267">
        <f t="shared" si="2"/>
        <v>125.58000000000004</v>
      </c>
      <c r="K53" s="268">
        <v>0.23</v>
      </c>
      <c r="L53" s="267">
        <f t="shared" si="3"/>
        <v>671.58</v>
      </c>
      <c r="M53" s="269"/>
      <c r="N53" s="269">
        <f>ROUND(O53*1.05,2)</f>
        <v>54.6</v>
      </c>
      <c r="O53" s="270">
        <f t="shared" si="33"/>
        <v>52</v>
      </c>
      <c r="P53" s="271">
        <v>80</v>
      </c>
      <c r="Q53" s="272" t="s">
        <v>2031</v>
      </c>
      <c r="R53" s="272" t="s">
        <v>1944</v>
      </c>
      <c r="S53" s="269"/>
      <c r="T53" s="269"/>
      <c r="U53" s="269"/>
      <c r="V53" s="269"/>
      <c r="W53" s="269"/>
      <c r="X53" s="219"/>
      <c r="Y53" s="273">
        <v>33.81</v>
      </c>
      <c r="Z53" s="274">
        <f t="shared" si="35"/>
        <v>40.25</v>
      </c>
      <c r="AC53" s="271">
        <f>AD53*0.7</f>
        <v>35</v>
      </c>
      <c r="AD53" s="270">
        <v>50</v>
      </c>
      <c r="AE53" s="275" t="s">
        <v>2032</v>
      </c>
      <c r="AF53" s="319" t="s">
        <v>2033</v>
      </c>
      <c r="AH53" s="270">
        <f t="shared" ref="AH53" si="36">AI53*0.63</f>
        <v>50.4</v>
      </c>
      <c r="AI53" s="270">
        <v>80</v>
      </c>
      <c r="AJ53" s="275" t="s">
        <v>2031</v>
      </c>
      <c r="AN53" s="210">
        <f t="shared" si="8"/>
        <v>57.2</v>
      </c>
      <c r="AO53" s="210">
        <f t="shared" si="9"/>
        <v>572</v>
      </c>
    </row>
    <row r="54" spans="2:41" ht="60">
      <c r="B54" s="264" t="s">
        <v>246</v>
      </c>
      <c r="C54" s="265" t="s">
        <v>2034</v>
      </c>
      <c r="D54" s="266" t="s">
        <v>2035</v>
      </c>
      <c r="E54" s="266">
        <v>50</v>
      </c>
      <c r="F54" s="265" t="s">
        <v>708</v>
      </c>
      <c r="G54" s="266">
        <v>20</v>
      </c>
      <c r="H54" s="267">
        <f t="shared" si="31"/>
        <v>7.49</v>
      </c>
      <c r="I54" s="267">
        <f t="shared" si="1"/>
        <v>149.80000000000001</v>
      </c>
      <c r="J54" s="267">
        <f t="shared" si="2"/>
        <v>34.454000000000008</v>
      </c>
      <c r="K54" s="268">
        <v>0.23</v>
      </c>
      <c r="L54" s="267">
        <f t="shared" si="3"/>
        <v>184.25400000000002</v>
      </c>
      <c r="M54" s="269"/>
      <c r="N54" s="269">
        <f>ROUND(O54*1.15,2)</f>
        <v>7.49</v>
      </c>
      <c r="O54" s="270">
        <f>P54*0.7</f>
        <v>6.51</v>
      </c>
      <c r="P54" s="271">
        <v>9.3000000000000007</v>
      </c>
      <c r="Q54" s="272" t="s">
        <v>2036</v>
      </c>
      <c r="R54" s="272" t="s">
        <v>1944</v>
      </c>
      <c r="S54" s="269"/>
      <c r="T54" s="269"/>
      <c r="U54" s="269"/>
      <c r="V54" s="269"/>
      <c r="W54" s="269"/>
      <c r="X54" s="219"/>
      <c r="Y54" s="273">
        <v>3.77</v>
      </c>
      <c r="Z54" s="274">
        <f t="shared" si="35"/>
        <v>4.8874999999999993</v>
      </c>
      <c r="AC54" s="271">
        <v>4.25</v>
      </c>
      <c r="AD54" s="270">
        <v>9.3000000000000007</v>
      </c>
      <c r="AE54" s="275" t="s">
        <v>2036</v>
      </c>
      <c r="AF54" s="319" t="s">
        <v>1944</v>
      </c>
      <c r="AH54" s="305" t="s">
        <v>2037</v>
      </c>
      <c r="AI54" s="270">
        <f>AJ54*0.68</f>
        <v>4.25</v>
      </c>
      <c r="AJ54" s="270">
        <v>6.25</v>
      </c>
      <c r="AN54" s="210">
        <f t="shared" si="8"/>
        <v>7.1610000000000005</v>
      </c>
      <c r="AO54" s="210">
        <f t="shared" si="9"/>
        <v>143.22</v>
      </c>
    </row>
    <row r="55" spans="2:41" ht="60">
      <c r="B55" s="264" t="s">
        <v>251</v>
      </c>
      <c r="C55" s="265" t="s">
        <v>2034</v>
      </c>
      <c r="D55" s="322" t="s">
        <v>2038</v>
      </c>
      <c r="E55" s="266">
        <v>100</v>
      </c>
      <c r="F55" s="265" t="s">
        <v>708</v>
      </c>
      <c r="G55" s="266">
        <v>20</v>
      </c>
      <c r="H55" s="267">
        <f t="shared" si="31"/>
        <v>5.47</v>
      </c>
      <c r="I55" s="267">
        <f t="shared" si="1"/>
        <v>109.39999999999999</v>
      </c>
      <c r="J55" s="267">
        <f t="shared" si="2"/>
        <v>25.161999999999992</v>
      </c>
      <c r="K55" s="268">
        <v>0.23</v>
      </c>
      <c r="L55" s="267">
        <f t="shared" si="3"/>
        <v>134.56199999999998</v>
      </c>
      <c r="M55" s="269"/>
      <c r="N55" s="269">
        <f>ROUND(O55*1.15,2)</f>
        <v>5.47</v>
      </c>
      <c r="O55" s="270">
        <f t="shared" ref="O55:O56" si="37">P55*0.7</f>
        <v>4.76</v>
      </c>
      <c r="P55" s="271">
        <v>6.8</v>
      </c>
      <c r="Q55" s="272" t="s">
        <v>2039</v>
      </c>
      <c r="R55" s="272" t="s">
        <v>1944</v>
      </c>
      <c r="S55" s="269"/>
      <c r="T55" s="269"/>
      <c r="U55" s="269"/>
      <c r="V55" s="269"/>
      <c r="W55" s="269"/>
      <c r="X55" s="219"/>
      <c r="Y55" s="273">
        <v>4.6399999999999997</v>
      </c>
      <c r="Z55" s="274">
        <f t="shared" si="35"/>
        <v>5.3129999999999997</v>
      </c>
      <c r="AC55" s="271">
        <v>4.62</v>
      </c>
      <c r="AD55" s="270">
        <v>9.6999999999999993</v>
      </c>
      <c r="AE55" s="275" t="s">
        <v>2039</v>
      </c>
      <c r="AF55" s="319" t="s">
        <v>1944</v>
      </c>
      <c r="AH55" s="305" t="s">
        <v>2040</v>
      </c>
      <c r="AI55" s="270">
        <f>AJ55*0.68</f>
        <v>4.6240000000000006</v>
      </c>
      <c r="AJ55" s="270">
        <v>6.8</v>
      </c>
      <c r="AN55" s="210">
        <f t="shared" si="8"/>
        <v>5.2359999999999998</v>
      </c>
      <c r="AO55" s="210">
        <f t="shared" si="9"/>
        <v>104.72</v>
      </c>
    </row>
    <row r="56" spans="2:41" ht="15.75">
      <c r="B56" s="264" t="s">
        <v>255</v>
      </c>
      <c r="C56" s="265" t="s">
        <v>2034</v>
      </c>
      <c r="D56" s="266" t="s">
        <v>2041</v>
      </c>
      <c r="E56" s="266">
        <v>250</v>
      </c>
      <c r="F56" s="265" t="s">
        <v>708</v>
      </c>
      <c r="G56" s="266">
        <v>20</v>
      </c>
      <c r="H56" s="267">
        <f t="shared" si="31"/>
        <v>7.57</v>
      </c>
      <c r="I56" s="267">
        <f t="shared" si="1"/>
        <v>151.4</v>
      </c>
      <c r="J56" s="267">
        <f t="shared" si="2"/>
        <v>34.822000000000003</v>
      </c>
      <c r="K56" s="268">
        <v>0.23</v>
      </c>
      <c r="L56" s="267">
        <f t="shared" si="3"/>
        <v>186.22200000000001</v>
      </c>
      <c r="M56" s="269"/>
      <c r="N56" s="269">
        <f>ROUND(O56*1.15,2)</f>
        <v>7.57</v>
      </c>
      <c r="O56" s="270">
        <f t="shared" si="37"/>
        <v>6.58</v>
      </c>
      <c r="P56" s="271">
        <v>9.4</v>
      </c>
      <c r="Q56" s="272" t="s">
        <v>2042</v>
      </c>
      <c r="R56" s="272" t="s">
        <v>1944</v>
      </c>
      <c r="S56" s="269"/>
      <c r="T56" s="269"/>
      <c r="U56" s="269"/>
      <c r="V56" s="269"/>
      <c r="W56" s="269"/>
      <c r="X56" s="219"/>
      <c r="Y56" s="273">
        <v>7.34</v>
      </c>
      <c r="Z56" s="274">
        <f t="shared" si="35"/>
        <v>7.3507999999999996</v>
      </c>
      <c r="AC56" s="270">
        <f t="shared" ref="AC56" si="38">AD56*0.68</f>
        <v>6.3920000000000003</v>
      </c>
      <c r="AD56" s="270">
        <v>9.4</v>
      </c>
      <c r="AE56" s="323" t="s">
        <v>2042</v>
      </c>
      <c r="AF56" s="319" t="s">
        <v>1944</v>
      </c>
      <c r="AH56" s="324"/>
      <c r="AI56" s="324"/>
      <c r="AJ56" s="324"/>
      <c r="AN56" s="210">
        <f t="shared" si="8"/>
        <v>7.2380000000000004</v>
      </c>
      <c r="AO56" s="210">
        <f t="shared" si="9"/>
        <v>144.76000000000002</v>
      </c>
    </row>
    <row r="57" spans="2:41" ht="51">
      <c r="B57" s="264" t="s">
        <v>258</v>
      </c>
      <c r="C57" s="265" t="s">
        <v>2043</v>
      </c>
      <c r="D57" s="266">
        <v>432351125</v>
      </c>
      <c r="E57" s="266">
        <v>50</v>
      </c>
      <c r="F57" s="265" t="s">
        <v>708</v>
      </c>
      <c r="G57" s="266">
        <v>20</v>
      </c>
      <c r="H57" s="267">
        <f>N57*1</f>
        <v>11.02</v>
      </c>
      <c r="I57" s="267">
        <f t="shared" si="1"/>
        <v>220.39999999999998</v>
      </c>
      <c r="J57" s="267">
        <f t="shared" si="2"/>
        <v>50.692000000000007</v>
      </c>
      <c r="K57" s="268">
        <v>0.23</v>
      </c>
      <c r="L57" s="267">
        <f t="shared" si="3"/>
        <v>271.09199999999998</v>
      </c>
      <c r="M57" s="269"/>
      <c r="N57" s="269">
        <f t="shared" ref="N57:N59" si="39">ROUND(O57*1.15,2)</f>
        <v>11.02</v>
      </c>
      <c r="O57" s="270">
        <f>P57*0.75</f>
        <v>9.5849999999999991</v>
      </c>
      <c r="P57" s="271">
        <v>12.78</v>
      </c>
      <c r="Q57" s="272">
        <v>432351125</v>
      </c>
      <c r="R57" s="315" t="s">
        <v>1972</v>
      </c>
      <c r="S57" s="316" t="s">
        <v>2022</v>
      </c>
      <c r="T57" s="269"/>
      <c r="U57" s="269"/>
      <c r="V57" s="269"/>
      <c r="W57" s="269"/>
      <c r="X57" s="219"/>
      <c r="Y57" s="273"/>
      <c r="Z57" s="274">
        <f t="shared" si="35"/>
        <v>11.7576</v>
      </c>
      <c r="AC57" s="270">
        <f>AD57*0.8</f>
        <v>10.224</v>
      </c>
      <c r="AD57" s="270">
        <v>12.78</v>
      </c>
      <c r="AE57" s="323"/>
      <c r="AF57" s="319" t="s">
        <v>2044</v>
      </c>
      <c r="AH57" s="324"/>
      <c r="AI57" s="324"/>
      <c r="AJ57" s="324"/>
      <c r="AN57" s="210">
        <f t="shared" si="8"/>
        <v>10.5435</v>
      </c>
      <c r="AO57" s="210">
        <f t="shared" si="9"/>
        <v>210.87</v>
      </c>
    </row>
    <row r="58" spans="2:41" ht="51">
      <c r="B58" s="264" t="s">
        <v>261</v>
      </c>
      <c r="C58" s="265" t="s">
        <v>2043</v>
      </c>
      <c r="D58" s="266">
        <v>432351230</v>
      </c>
      <c r="E58" s="266">
        <v>100</v>
      </c>
      <c r="F58" s="265" t="s">
        <v>708</v>
      </c>
      <c r="G58" s="266">
        <v>20</v>
      </c>
      <c r="H58" s="267">
        <f t="shared" ref="H58:H61" si="40">N58*1</f>
        <v>13</v>
      </c>
      <c r="I58" s="267">
        <f t="shared" si="1"/>
        <v>260</v>
      </c>
      <c r="J58" s="267">
        <f t="shared" si="2"/>
        <v>59.800000000000011</v>
      </c>
      <c r="K58" s="268">
        <v>0.23</v>
      </c>
      <c r="L58" s="267">
        <f t="shared" si="3"/>
        <v>319.8</v>
      </c>
      <c r="M58" s="269"/>
      <c r="N58" s="269">
        <f t="shared" si="39"/>
        <v>13</v>
      </c>
      <c r="O58" s="270">
        <f t="shared" ref="O58:O59" si="41">P58*0.75</f>
        <v>11.3025</v>
      </c>
      <c r="P58" s="271">
        <v>15.07</v>
      </c>
      <c r="Q58" s="272">
        <v>432351230</v>
      </c>
      <c r="R58" s="315" t="s">
        <v>1972</v>
      </c>
      <c r="S58" s="316" t="s">
        <v>2022</v>
      </c>
      <c r="T58" s="269"/>
      <c r="U58" s="269"/>
      <c r="V58" s="269"/>
      <c r="W58" s="269"/>
      <c r="X58" s="219"/>
      <c r="Y58" s="273"/>
      <c r="Z58" s="274">
        <f t="shared" si="35"/>
        <v>13.8644</v>
      </c>
      <c r="AC58" s="270">
        <f t="shared" ref="AC58:AC59" si="42">AD58*0.8</f>
        <v>12.056000000000001</v>
      </c>
      <c r="AD58" s="270">
        <v>15.07</v>
      </c>
      <c r="AE58" s="323"/>
      <c r="AF58" s="319"/>
      <c r="AH58" s="324"/>
      <c r="AI58" s="324"/>
      <c r="AJ58" s="324"/>
      <c r="AN58" s="210">
        <f t="shared" si="8"/>
        <v>12.43275</v>
      </c>
      <c r="AO58" s="210">
        <f t="shared" si="9"/>
        <v>248.655</v>
      </c>
    </row>
    <row r="59" spans="2:41" ht="51">
      <c r="B59" s="264" t="s">
        <v>265</v>
      </c>
      <c r="C59" s="265" t="s">
        <v>2043</v>
      </c>
      <c r="D59" s="266">
        <v>432351338</v>
      </c>
      <c r="E59" s="266">
        <v>250</v>
      </c>
      <c r="F59" s="265" t="s">
        <v>708</v>
      </c>
      <c r="G59" s="266">
        <v>20</v>
      </c>
      <c r="H59" s="267">
        <f t="shared" si="40"/>
        <v>23.2</v>
      </c>
      <c r="I59" s="267">
        <f t="shared" si="1"/>
        <v>464</v>
      </c>
      <c r="J59" s="267">
        <f t="shared" si="2"/>
        <v>106.72000000000003</v>
      </c>
      <c r="K59" s="268">
        <v>0.23</v>
      </c>
      <c r="L59" s="267">
        <f t="shared" si="3"/>
        <v>570.72</v>
      </c>
      <c r="M59" s="269"/>
      <c r="N59" s="269">
        <f t="shared" si="39"/>
        <v>23.2</v>
      </c>
      <c r="O59" s="270">
        <f t="shared" si="41"/>
        <v>20.174999999999997</v>
      </c>
      <c r="P59" s="271">
        <v>26.9</v>
      </c>
      <c r="Q59" s="272">
        <v>432351338</v>
      </c>
      <c r="R59" s="315" t="s">
        <v>1972</v>
      </c>
      <c r="S59" s="316" t="s">
        <v>2022</v>
      </c>
      <c r="T59" s="269"/>
      <c r="U59" s="269"/>
      <c r="V59" s="269"/>
      <c r="W59" s="269"/>
      <c r="X59" s="219"/>
      <c r="Y59" s="273"/>
      <c r="Z59" s="274">
        <f t="shared" si="35"/>
        <v>24.747999999999998</v>
      </c>
      <c r="AC59" s="270">
        <f t="shared" si="42"/>
        <v>21.52</v>
      </c>
      <c r="AD59" s="270">
        <v>26.9</v>
      </c>
      <c r="AE59" s="323"/>
      <c r="AF59" s="319"/>
      <c r="AH59" s="324"/>
      <c r="AI59" s="324"/>
      <c r="AJ59" s="324"/>
      <c r="AN59" s="210">
        <f t="shared" si="8"/>
        <v>22.192499999999999</v>
      </c>
      <c r="AO59" s="210">
        <f t="shared" si="9"/>
        <v>443.84999999999997</v>
      </c>
    </row>
    <row r="60" spans="2:41" ht="25.5">
      <c r="B60" s="264" t="s">
        <v>268</v>
      </c>
      <c r="C60" s="265" t="s">
        <v>2045</v>
      </c>
      <c r="D60" s="265" t="s">
        <v>2046</v>
      </c>
      <c r="E60" s="266" t="s">
        <v>2047</v>
      </c>
      <c r="F60" s="265" t="s">
        <v>708</v>
      </c>
      <c r="G60" s="266">
        <v>3</v>
      </c>
      <c r="H60" s="267">
        <f t="shared" si="40"/>
        <v>170.16</v>
      </c>
      <c r="I60" s="267">
        <f t="shared" si="1"/>
        <v>510.48</v>
      </c>
      <c r="J60" s="267">
        <f t="shared" si="2"/>
        <v>117.41039999999998</v>
      </c>
      <c r="K60" s="268">
        <v>0.23</v>
      </c>
      <c r="L60" s="267">
        <f t="shared" si="3"/>
        <v>627.8904</v>
      </c>
      <c r="M60" s="269"/>
      <c r="N60" s="269">
        <f>ROUND(O60*1.11,2)</f>
        <v>170.16</v>
      </c>
      <c r="O60" s="270">
        <f>P60*0.7</f>
        <v>153.29999999999998</v>
      </c>
      <c r="P60" s="271">
        <v>219</v>
      </c>
      <c r="Q60" s="272" t="s">
        <v>2048</v>
      </c>
      <c r="R60" s="272" t="s">
        <v>1944</v>
      </c>
      <c r="S60" s="269"/>
      <c r="T60" s="269"/>
      <c r="U60" s="269"/>
      <c r="V60" s="269"/>
      <c r="W60" s="269"/>
      <c r="X60" s="219"/>
      <c r="Y60" s="273">
        <v>182.85</v>
      </c>
      <c r="Z60" s="274">
        <f t="shared" si="35"/>
        <v>155.61800000000002</v>
      </c>
      <c r="AC60" s="270">
        <f>AD60*0.68</f>
        <v>135.32000000000002</v>
      </c>
      <c r="AD60" s="270">
        <v>199</v>
      </c>
      <c r="AE60" s="272" t="s">
        <v>2048</v>
      </c>
      <c r="AF60" s="319" t="s">
        <v>1944</v>
      </c>
      <c r="AN60" s="210">
        <f t="shared" si="8"/>
        <v>168.63</v>
      </c>
      <c r="AO60" s="210">
        <f t="shared" si="9"/>
        <v>505.89</v>
      </c>
    </row>
    <row r="61" spans="2:41" ht="25.5">
      <c r="B61" s="264" t="s">
        <v>273</v>
      </c>
      <c r="C61" s="265" t="s">
        <v>2049</v>
      </c>
      <c r="D61" s="265" t="s">
        <v>2050</v>
      </c>
      <c r="E61" s="266" t="s">
        <v>2051</v>
      </c>
      <c r="F61" s="265" t="s">
        <v>708</v>
      </c>
      <c r="G61" s="266">
        <v>3</v>
      </c>
      <c r="H61" s="267">
        <f t="shared" si="40"/>
        <v>132.09</v>
      </c>
      <c r="I61" s="267">
        <f t="shared" si="1"/>
        <v>396.27</v>
      </c>
      <c r="J61" s="267">
        <f t="shared" si="2"/>
        <v>91.142100000000028</v>
      </c>
      <c r="K61" s="268">
        <v>0.23</v>
      </c>
      <c r="L61" s="267">
        <f t="shared" si="3"/>
        <v>487.41210000000001</v>
      </c>
      <c r="M61" s="269"/>
      <c r="N61" s="269">
        <f>ROUND(O61*1.11,2)</f>
        <v>132.09</v>
      </c>
      <c r="O61" s="270">
        <f>P61*0.7</f>
        <v>118.99999999999999</v>
      </c>
      <c r="P61" s="271">
        <v>170</v>
      </c>
      <c r="Q61" s="272" t="s">
        <v>2052</v>
      </c>
      <c r="R61" s="272" t="s">
        <v>1944</v>
      </c>
      <c r="S61" s="269"/>
      <c r="T61" s="269"/>
      <c r="U61" s="269"/>
      <c r="V61" s="269"/>
      <c r="W61" s="269"/>
      <c r="X61" s="219"/>
      <c r="Y61" s="273">
        <v>138</v>
      </c>
      <c r="Z61" s="274">
        <f t="shared" si="35"/>
        <v>117.30000000000001</v>
      </c>
      <c r="AC61" s="270">
        <f>AD61*0.68</f>
        <v>102.00000000000001</v>
      </c>
      <c r="AD61" s="270">
        <v>150</v>
      </c>
      <c r="AE61" s="272" t="s">
        <v>2052</v>
      </c>
      <c r="AF61" s="319" t="s">
        <v>1944</v>
      </c>
      <c r="AN61" s="210">
        <f t="shared" si="8"/>
        <v>130.9</v>
      </c>
      <c r="AO61" s="210">
        <f t="shared" si="9"/>
        <v>392.70000000000005</v>
      </c>
    </row>
    <row r="62" spans="2:41" s="7" customFormat="1" ht="51">
      <c r="B62" s="266" t="s">
        <v>276</v>
      </c>
      <c r="C62" s="265" t="s">
        <v>2053</v>
      </c>
      <c r="D62" s="266">
        <v>415271250</v>
      </c>
      <c r="E62" s="266">
        <v>250</v>
      </c>
      <c r="F62" s="265" t="s">
        <v>708</v>
      </c>
      <c r="G62" s="266">
        <v>5</v>
      </c>
      <c r="H62" s="325">
        <v>150</v>
      </c>
      <c r="I62" s="325">
        <f t="shared" si="1"/>
        <v>750</v>
      </c>
      <c r="J62" s="325">
        <f t="shared" si="2"/>
        <v>172.5</v>
      </c>
      <c r="K62" s="326">
        <v>0.23</v>
      </c>
      <c r="L62" s="325">
        <f t="shared" si="3"/>
        <v>922.5</v>
      </c>
      <c r="M62" s="281"/>
      <c r="N62" s="269">
        <f>ROUND(O62*1.01,2)</f>
        <v>331.74</v>
      </c>
      <c r="O62" s="327">
        <f>P62*0.77</f>
        <v>328.45120000000003</v>
      </c>
      <c r="P62" s="327">
        <v>426.56</v>
      </c>
      <c r="Q62" s="328">
        <v>415271250</v>
      </c>
      <c r="R62" s="329" t="s">
        <v>1972</v>
      </c>
      <c r="S62" s="316" t="s">
        <v>2022</v>
      </c>
      <c r="T62" s="281" t="s">
        <v>2054</v>
      </c>
      <c r="U62" s="296" t="s">
        <v>2055</v>
      </c>
      <c r="V62" s="281">
        <v>184</v>
      </c>
      <c r="W62" s="330">
        <v>0.35</v>
      </c>
      <c r="X62" s="282">
        <f>V62-V62*W62</f>
        <v>119.60000000000001</v>
      </c>
      <c r="Y62" s="283"/>
      <c r="Z62" s="312">
        <f t="shared" si="35"/>
        <v>392.43520000000001</v>
      </c>
      <c r="AC62" s="277">
        <f>AD62*0.8</f>
        <v>341.24800000000005</v>
      </c>
      <c r="AD62" s="277">
        <v>426.56</v>
      </c>
      <c r="AE62" s="280"/>
      <c r="AF62" s="331" t="s">
        <v>1972</v>
      </c>
      <c r="AN62" s="210">
        <f t="shared" si="8"/>
        <v>361.29632000000004</v>
      </c>
      <c r="AO62" s="210">
        <f t="shared" si="9"/>
        <v>1806.4816000000001</v>
      </c>
    </row>
    <row r="63" spans="2:41" ht="25.5">
      <c r="B63" s="264" t="s">
        <v>281</v>
      </c>
      <c r="C63" s="265" t="s">
        <v>2056</v>
      </c>
      <c r="D63" s="266" t="s">
        <v>2057</v>
      </c>
      <c r="E63" s="266">
        <v>50</v>
      </c>
      <c r="F63" s="265" t="s">
        <v>1624</v>
      </c>
      <c r="G63" s="266">
        <v>20</v>
      </c>
      <c r="H63" s="267">
        <v>15</v>
      </c>
      <c r="I63" s="267">
        <f>H63*G63</f>
        <v>300</v>
      </c>
      <c r="J63" s="267">
        <f t="shared" si="2"/>
        <v>69</v>
      </c>
      <c r="K63" s="268">
        <v>0.23</v>
      </c>
      <c r="L63" s="267">
        <f t="shared" si="3"/>
        <v>369</v>
      </c>
      <c r="M63" s="269"/>
      <c r="N63" s="269">
        <f t="shared" si="10"/>
        <v>5.85</v>
      </c>
      <c r="O63" s="332">
        <v>5</v>
      </c>
      <c r="P63" s="333"/>
      <c r="Q63" s="264" t="s">
        <v>2057</v>
      </c>
      <c r="R63" s="329"/>
      <c r="S63" s="334"/>
      <c r="T63" s="269"/>
      <c r="U63" s="269"/>
      <c r="V63" s="269"/>
      <c r="W63" s="269"/>
      <c r="X63" s="219"/>
      <c r="Y63" s="273"/>
      <c r="Z63" s="274"/>
      <c r="AC63" s="270"/>
      <c r="AD63" s="270"/>
      <c r="AE63" s="272"/>
      <c r="AF63" s="319"/>
      <c r="AN63" s="210">
        <f t="shared" si="8"/>
        <v>5.5</v>
      </c>
      <c r="AO63" s="210">
        <f t="shared" si="9"/>
        <v>110</v>
      </c>
    </row>
    <row r="64" spans="2:41" ht="25.5">
      <c r="B64" s="264" t="s">
        <v>285</v>
      </c>
      <c r="C64" s="265" t="s">
        <v>2056</v>
      </c>
      <c r="D64" s="266" t="s">
        <v>2058</v>
      </c>
      <c r="E64" s="266">
        <v>100</v>
      </c>
      <c r="F64" s="265" t="s">
        <v>1624</v>
      </c>
      <c r="G64" s="266">
        <v>20</v>
      </c>
      <c r="H64" s="267">
        <v>16</v>
      </c>
      <c r="I64" s="267">
        <f>H64*G64</f>
        <v>320</v>
      </c>
      <c r="J64" s="267">
        <f t="shared" si="2"/>
        <v>73.600000000000023</v>
      </c>
      <c r="K64" s="268">
        <v>0.23</v>
      </c>
      <c r="L64" s="267">
        <f t="shared" si="3"/>
        <v>393.6</v>
      </c>
      <c r="M64" s="269"/>
      <c r="N64" s="269">
        <f t="shared" si="10"/>
        <v>5.85</v>
      </c>
      <c r="O64" s="332">
        <v>5</v>
      </c>
      <c r="P64" s="333"/>
      <c r="Q64" s="264" t="s">
        <v>2058</v>
      </c>
      <c r="R64" s="329"/>
      <c r="S64" s="334"/>
      <c r="T64" s="269"/>
      <c r="U64" s="269"/>
      <c r="V64" s="269"/>
      <c r="W64" s="269"/>
      <c r="X64" s="219"/>
      <c r="Y64" s="273"/>
      <c r="Z64" s="274"/>
      <c r="AC64" s="270"/>
      <c r="AD64" s="270"/>
      <c r="AE64" s="272"/>
      <c r="AF64" s="319"/>
      <c r="AN64" s="210">
        <f t="shared" si="8"/>
        <v>5.5</v>
      </c>
      <c r="AO64" s="210">
        <f t="shared" si="9"/>
        <v>110</v>
      </c>
    </row>
    <row r="65" spans="2:41" ht="25.5">
      <c r="B65" s="264" t="s">
        <v>289</v>
      </c>
      <c r="C65" s="265" t="s">
        <v>2059</v>
      </c>
      <c r="D65" s="275" t="s">
        <v>2060</v>
      </c>
      <c r="E65" s="266">
        <v>250</v>
      </c>
      <c r="F65" s="265" t="s">
        <v>1624</v>
      </c>
      <c r="G65" s="266">
        <v>20</v>
      </c>
      <c r="H65" s="267">
        <v>16</v>
      </c>
      <c r="I65" s="267">
        <f t="shared" si="1"/>
        <v>320</v>
      </c>
      <c r="J65" s="267">
        <f t="shared" si="2"/>
        <v>73.600000000000023</v>
      </c>
      <c r="K65" s="268">
        <v>0.23</v>
      </c>
      <c r="L65" s="267">
        <f t="shared" si="3"/>
        <v>393.6</v>
      </c>
      <c r="M65" s="269"/>
      <c r="N65" s="269">
        <f t="shared" si="10"/>
        <v>9.36</v>
      </c>
      <c r="O65" s="332">
        <v>8</v>
      </c>
      <c r="P65" s="333"/>
      <c r="Q65" s="335" t="s">
        <v>2060</v>
      </c>
      <c r="R65" s="329"/>
      <c r="S65" s="334"/>
      <c r="T65" s="269"/>
      <c r="U65" s="269"/>
      <c r="V65" s="269"/>
      <c r="W65" s="269"/>
      <c r="X65" s="219"/>
      <c r="Y65" s="273"/>
      <c r="Z65" s="274"/>
      <c r="AC65" s="270"/>
      <c r="AD65" s="270"/>
      <c r="AE65" s="272"/>
      <c r="AF65" s="319"/>
      <c r="AN65" s="210">
        <f t="shared" si="8"/>
        <v>8.8000000000000007</v>
      </c>
      <c r="AO65" s="210">
        <f t="shared" si="9"/>
        <v>176</v>
      </c>
    </row>
    <row r="66" spans="2:41" ht="25.5">
      <c r="B66" s="264" t="s">
        <v>296</v>
      </c>
      <c r="C66" s="265" t="s">
        <v>2061</v>
      </c>
      <c r="D66" s="275" t="s">
        <v>2062</v>
      </c>
      <c r="E66" s="266">
        <v>250</v>
      </c>
      <c r="F66" s="265" t="s">
        <v>1624</v>
      </c>
      <c r="G66" s="266">
        <v>20</v>
      </c>
      <c r="H66" s="267">
        <v>15</v>
      </c>
      <c r="I66" s="267">
        <f t="shared" si="1"/>
        <v>300</v>
      </c>
      <c r="J66" s="267">
        <f t="shared" si="2"/>
        <v>69</v>
      </c>
      <c r="K66" s="268">
        <v>0.23</v>
      </c>
      <c r="L66" s="267">
        <f t="shared" si="3"/>
        <v>369</v>
      </c>
      <c r="M66" s="269"/>
      <c r="N66" s="269">
        <f t="shared" si="10"/>
        <v>4.68</v>
      </c>
      <c r="O66" s="332">
        <v>4</v>
      </c>
      <c r="P66" s="333"/>
      <c r="Q66" s="336" t="s">
        <v>2062</v>
      </c>
      <c r="R66" s="329"/>
      <c r="S66" s="334"/>
      <c r="T66" s="269"/>
      <c r="U66" s="269"/>
      <c r="V66" s="269"/>
      <c r="W66" s="269"/>
      <c r="X66" s="219"/>
      <c r="Y66" s="273"/>
      <c r="Z66" s="274"/>
      <c r="AC66" s="270"/>
      <c r="AD66" s="270"/>
      <c r="AE66" s="272"/>
      <c r="AF66" s="319"/>
      <c r="AN66" s="210">
        <f t="shared" si="8"/>
        <v>4.4000000000000004</v>
      </c>
      <c r="AO66" s="210">
        <f t="shared" si="9"/>
        <v>88</v>
      </c>
    </row>
    <row r="67" spans="2:41" ht="25.5">
      <c r="B67" s="264" t="s">
        <v>300</v>
      </c>
      <c r="C67" s="265" t="s">
        <v>2063</v>
      </c>
      <c r="D67" s="266" t="s">
        <v>2064</v>
      </c>
      <c r="E67" s="266">
        <v>10</v>
      </c>
      <c r="F67" s="265" t="s">
        <v>708</v>
      </c>
      <c r="G67" s="266">
        <v>10</v>
      </c>
      <c r="H67" s="267">
        <f>N67*1</f>
        <v>4.82</v>
      </c>
      <c r="I67" s="267">
        <f t="shared" si="1"/>
        <v>48.2</v>
      </c>
      <c r="J67" s="267">
        <f t="shared" si="2"/>
        <v>11.085999999999999</v>
      </c>
      <c r="K67" s="268">
        <v>0.23</v>
      </c>
      <c r="L67" s="267">
        <f t="shared" si="3"/>
        <v>59.286000000000001</v>
      </c>
      <c r="M67" s="269"/>
      <c r="N67" s="269">
        <f>ROUND(O67*1.14,2)</f>
        <v>4.82</v>
      </c>
      <c r="O67" s="270">
        <f>P67*0.65</f>
        <v>4.2250000000000005</v>
      </c>
      <c r="P67" s="271">
        <v>6.5</v>
      </c>
      <c r="Q67" s="272" t="s">
        <v>2064</v>
      </c>
      <c r="R67" s="272" t="s">
        <v>1944</v>
      </c>
      <c r="S67" s="269"/>
      <c r="T67" s="269"/>
      <c r="U67" s="269"/>
      <c r="V67" s="269"/>
      <c r="W67" s="269"/>
      <c r="X67" s="219"/>
      <c r="Y67" s="273">
        <v>2.0499999999999998</v>
      </c>
      <c r="Z67" s="274">
        <f t="shared" si="35"/>
        <v>4.709249999999999</v>
      </c>
      <c r="AC67" s="270">
        <f>AD67*0.63</f>
        <v>4.0949999999999998</v>
      </c>
      <c r="AD67" s="270">
        <v>6.5</v>
      </c>
      <c r="AE67" s="275" t="s">
        <v>2064</v>
      </c>
      <c r="AF67" s="319" t="s">
        <v>1944</v>
      </c>
      <c r="AN67" s="210">
        <f t="shared" si="8"/>
        <v>4.6475000000000009</v>
      </c>
      <c r="AO67" s="210">
        <f t="shared" si="9"/>
        <v>46.475000000000009</v>
      </c>
    </row>
    <row r="68" spans="2:41" ht="25.5">
      <c r="B68" s="264" t="s">
        <v>304</v>
      </c>
      <c r="C68" s="265" t="s">
        <v>2063</v>
      </c>
      <c r="D68" s="266" t="s">
        <v>2065</v>
      </c>
      <c r="E68" s="266">
        <v>25</v>
      </c>
      <c r="F68" s="265" t="s">
        <v>708</v>
      </c>
      <c r="G68" s="266">
        <v>10</v>
      </c>
      <c r="H68" s="267">
        <f t="shared" ref="H68:H96" si="43">N68*1</f>
        <v>5.56</v>
      </c>
      <c r="I68" s="267">
        <f t="shared" si="1"/>
        <v>55.599999999999994</v>
      </c>
      <c r="J68" s="267">
        <f t="shared" si="2"/>
        <v>12.787999999999997</v>
      </c>
      <c r="K68" s="268">
        <v>0.23</v>
      </c>
      <c r="L68" s="267">
        <f t="shared" si="3"/>
        <v>68.387999999999991</v>
      </c>
      <c r="M68" s="269"/>
      <c r="N68" s="269">
        <f t="shared" ref="N68:N72" si="44">ROUND(O68*1.14,2)</f>
        <v>5.56</v>
      </c>
      <c r="O68" s="270">
        <f t="shared" ref="O68:O74" si="45">P68*0.65</f>
        <v>4.875</v>
      </c>
      <c r="P68" s="271">
        <v>7.5</v>
      </c>
      <c r="Q68" s="272" t="s">
        <v>2065</v>
      </c>
      <c r="R68" s="272" t="s">
        <v>1944</v>
      </c>
      <c r="S68" s="269"/>
      <c r="T68" s="269"/>
      <c r="U68" s="269"/>
      <c r="V68" s="269"/>
      <c r="W68" s="269"/>
      <c r="X68" s="219"/>
      <c r="Y68" s="273">
        <v>1.98</v>
      </c>
      <c r="Z68" s="274">
        <f t="shared" si="35"/>
        <v>5.433749999999999</v>
      </c>
      <c r="AC68" s="270">
        <f t="shared" ref="AC68:AC91" si="46">AD68*0.63</f>
        <v>4.7249999999999996</v>
      </c>
      <c r="AD68" s="270">
        <v>7.5</v>
      </c>
      <c r="AE68" s="275" t="s">
        <v>2065</v>
      </c>
      <c r="AF68" s="319" t="s">
        <v>1944</v>
      </c>
      <c r="AN68" s="210">
        <f t="shared" si="8"/>
        <v>5.3625000000000007</v>
      </c>
      <c r="AO68" s="210">
        <f t="shared" si="9"/>
        <v>53.625000000000007</v>
      </c>
    </row>
    <row r="69" spans="2:41" ht="25.5">
      <c r="B69" s="264" t="s">
        <v>307</v>
      </c>
      <c r="C69" s="265" t="s">
        <v>2063</v>
      </c>
      <c r="D69" s="266" t="s">
        <v>2066</v>
      </c>
      <c r="E69" s="266">
        <v>50</v>
      </c>
      <c r="F69" s="265" t="s">
        <v>708</v>
      </c>
      <c r="G69" s="266">
        <v>10</v>
      </c>
      <c r="H69" s="267">
        <f t="shared" si="43"/>
        <v>6.59</v>
      </c>
      <c r="I69" s="267">
        <f t="shared" si="1"/>
        <v>65.900000000000006</v>
      </c>
      <c r="J69" s="267">
        <f t="shared" si="2"/>
        <v>15.156999999999996</v>
      </c>
      <c r="K69" s="268">
        <v>0.23</v>
      </c>
      <c r="L69" s="267">
        <f t="shared" si="3"/>
        <v>81.057000000000002</v>
      </c>
      <c r="M69" s="269"/>
      <c r="N69" s="269">
        <f t="shared" si="44"/>
        <v>6.59</v>
      </c>
      <c r="O69" s="270">
        <f t="shared" si="45"/>
        <v>5.7850000000000001</v>
      </c>
      <c r="P69" s="271">
        <v>8.9</v>
      </c>
      <c r="Q69" s="272" t="s">
        <v>2066</v>
      </c>
      <c r="R69" s="272" t="s">
        <v>1944</v>
      </c>
      <c r="S69" s="269"/>
      <c r="T69" s="269"/>
      <c r="U69" s="269"/>
      <c r="V69" s="269"/>
      <c r="W69" s="269"/>
      <c r="X69" s="219"/>
      <c r="Y69" s="273">
        <v>2.31</v>
      </c>
      <c r="Z69" s="274">
        <f t="shared" si="35"/>
        <v>6.4480499999999994</v>
      </c>
      <c r="AC69" s="270">
        <f t="shared" si="46"/>
        <v>5.6070000000000002</v>
      </c>
      <c r="AD69" s="270">
        <v>8.9</v>
      </c>
      <c r="AE69" s="275" t="s">
        <v>2066</v>
      </c>
      <c r="AF69" s="319" t="s">
        <v>1944</v>
      </c>
      <c r="AN69" s="210">
        <f t="shared" si="8"/>
        <v>6.363500000000001</v>
      </c>
      <c r="AO69" s="210">
        <f t="shared" si="9"/>
        <v>63.635000000000012</v>
      </c>
    </row>
    <row r="70" spans="2:41" ht="25.5">
      <c r="B70" s="264" t="s">
        <v>310</v>
      </c>
      <c r="C70" s="265" t="s">
        <v>2063</v>
      </c>
      <c r="D70" s="266" t="s">
        <v>2067</v>
      </c>
      <c r="E70" s="266">
        <v>100</v>
      </c>
      <c r="F70" s="265" t="s">
        <v>708</v>
      </c>
      <c r="G70" s="266">
        <v>10</v>
      </c>
      <c r="H70" s="267">
        <f t="shared" si="43"/>
        <v>7.41</v>
      </c>
      <c r="I70" s="267">
        <f t="shared" si="1"/>
        <v>74.099999999999994</v>
      </c>
      <c r="J70" s="267">
        <f t="shared" si="2"/>
        <v>17.043000000000006</v>
      </c>
      <c r="K70" s="268">
        <v>0.23</v>
      </c>
      <c r="L70" s="267">
        <f t="shared" si="3"/>
        <v>91.143000000000001</v>
      </c>
      <c r="M70" s="269"/>
      <c r="N70" s="269">
        <f t="shared" si="44"/>
        <v>7.41</v>
      </c>
      <c r="O70" s="270">
        <f t="shared" si="45"/>
        <v>6.5</v>
      </c>
      <c r="P70" s="271">
        <v>10</v>
      </c>
      <c r="Q70" s="272" t="s">
        <v>2067</v>
      </c>
      <c r="R70" s="272" t="s">
        <v>1944</v>
      </c>
      <c r="S70" s="269"/>
      <c r="T70" s="269"/>
      <c r="U70" s="269"/>
      <c r="V70" s="269"/>
      <c r="W70" s="269"/>
      <c r="X70" s="219"/>
      <c r="Y70" s="273">
        <v>2.48</v>
      </c>
      <c r="Z70" s="274">
        <f t="shared" si="35"/>
        <v>7.2449999999999992</v>
      </c>
      <c r="AC70" s="270">
        <f t="shared" si="46"/>
        <v>6.3</v>
      </c>
      <c r="AD70" s="270">
        <v>10</v>
      </c>
      <c r="AE70" s="275" t="s">
        <v>2067</v>
      </c>
      <c r="AF70" s="319" t="s">
        <v>1944</v>
      </c>
      <c r="AN70" s="210">
        <f t="shared" si="8"/>
        <v>7.15</v>
      </c>
      <c r="AO70" s="210">
        <f t="shared" si="9"/>
        <v>71.5</v>
      </c>
    </row>
    <row r="71" spans="2:41" ht="25.5">
      <c r="B71" s="264" t="s">
        <v>313</v>
      </c>
      <c r="C71" s="265" t="s">
        <v>2063</v>
      </c>
      <c r="D71" s="266" t="s">
        <v>2068</v>
      </c>
      <c r="E71" s="266">
        <v>250</v>
      </c>
      <c r="F71" s="265" t="s">
        <v>708</v>
      </c>
      <c r="G71" s="266">
        <v>10</v>
      </c>
      <c r="H71" s="267">
        <f t="shared" si="43"/>
        <v>10.37</v>
      </c>
      <c r="I71" s="267">
        <f t="shared" si="1"/>
        <v>103.69999999999999</v>
      </c>
      <c r="J71" s="267">
        <f t="shared" si="2"/>
        <v>23.850999999999999</v>
      </c>
      <c r="K71" s="268">
        <v>0.23</v>
      </c>
      <c r="L71" s="267">
        <f t="shared" si="3"/>
        <v>127.55099999999999</v>
      </c>
      <c r="M71" s="269"/>
      <c r="N71" s="269">
        <f t="shared" si="44"/>
        <v>10.37</v>
      </c>
      <c r="O71" s="270">
        <f t="shared" si="45"/>
        <v>9.1</v>
      </c>
      <c r="P71" s="271">
        <v>14</v>
      </c>
      <c r="Q71" s="272" t="s">
        <v>2068</v>
      </c>
      <c r="R71" s="272" t="s">
        <v>1944</v>
      </c>
      <c r="S71" s="269"/>
      <c r="T71" s="269"/>
      <c r="U71" s="269"/>
      <c r="V71" s="269"/>
      <c r="W71" s="269"/>
      <c r="X71" s="219"/>
      <c r="Y71" s="273">
        <v>6.03</v>
      </c>
      <c r="Z71" s="274">
        <f t="shared" si="35"/>
        <v>10.142999999999999</v>
      </c>
      <c r="AC71" s="270">
        <f t="shared" si="46"/>
        <v>8.82</v>
      </c>
      <c r="AD71" s="270">
        <v>14</v>
      </c>
      <c r="AE71" s="275" t="s">
        <v>2068</v>
      </c>
      <c r="AF71" s="319" t="s">
        <v>1944</v>
      </c>
      <c r="AN71" s="210">
        <f t="shared" si="8"/>
        <v>10.01</v>
      </c>
      <c r="AO71" s="210">
        <f t="shared" si="9"/>
        <v>100.1</v>
      </c>
    </row>
    <row r="72" spans="2:41" ht="25.5">
      <c r="B72" s="264" t="s">
        <v>317</v>
      </c>
      <c r="C72" s="265" t="s">
        <v>2063</v>
      </c>
      <c r="D72" s="266" t="s">
        <v>2069</v>
      </c>
      <c r="E72" s="266">
        <v>500</v>
      </c>
      <c r="F72" s="265" t="s">
        <v>708</v>
      </c>
      <c r="G72" s="266">
        <v>10</v>
      </c>
      <c r="H72" s="267">
        <f t="shared" si="43"/>
        <v>12.6</v>
      </c>
      <c r="I72" s="267">
        <f t="shared" si="1"/>
        <v>126</v>
      </c>
      <c r="J72" s="267">
        <f t="shared" si="2"/>
        <v>28.97999999999999</v>
      </c>
      <c r="K72" s="268">
        <v>0.23</v>
      </c>
      <c r="L72" s="267">
        <f t="shared" si="3"/>
        <v>154.97999999999999</v>
      </c>
      <c r="M72" s="269"/>
      <c r="N72" s="269">
        <f t="shared" si="44"/>
        <v>12.6</v>
      </c>
      <c r="O72" s="270">
        <f t="shared" si="45"/>
        <v>11.05</v>
      </c>
      <c r="P72" s="271">
        <v>17</v>
      </c>
      <c r="Q72" s="272" t="s">
        <v>2069</v>
      </c>
      <c r="R72" s="272" t="s">
        <v>1944</v>
      </c>
      <c r="S72" s="269"/>
      <c r="T72" s="269"/>
      <c r="U72" s="269"/>
      <c r="V72" s="269"/>
      <c r="W72" s="269"/>
      <c r="X72" s="219"/>
      <c r="Y72" s="273">
        <v>6.23</v>
      </c>
      <c r="Z72" s="274">
        <f t="shared" si="35"/>
        <v>12.3165</v>
      </c>
      <c r="AC72" s="270">
        <f t="shared" si="46"/>
        <v>10.71</v>
      </c>
      <c r="AD72" s="270">
        <v>17</v>
      </c>
      <c r="AE72" s="275" t="s">
        <v>2069</v>
      </c>
      <c r="AF72" s="319" t="s">
        <v>1944</v>
      </c>
      <c r="AN72" s="210">
        <f t="shared" si="8"/>
        <v>12.155000000000001</v>
      </c>
      <c r="AO72" s="210">
        <f t="shared" si="9"/>
        <v>121.55000000000001</v>
      </c>
    </row>
    <row r="73" spans="2:41" ht="25.5">
      <c r="B73" s="264" t="s">
        <v>321</v>
      </c>
      <c r="C73" s="265" t="s">
        <v>2063</v>
      </c>
      <c r="D73" s="266" t="s">
        <v>2070</v>
      </c>
      <c r="E73" s="266">
        <v>1000</v>
      </c>
      <c r="F73" s="265" t="s">
        <v>708</v>
      </c>
      <c r="G73" s="266">
        <v>10</v>
      </c>
      <c r="H73" s="267">
        <f t="shared" si="43"/>
        <v>19.309999999999999</v>
      </c>
      <c r="I73" s="267">
        <f t="shared" si="1"/>
        <v>193.1</v>
      </c>
      <c r="J73" s="267">
        <f t="shared" si="2"/>
        <v>44.413000000000011</v>
      </c>
      <c r="K73" s="268">
        <v>0.23</v>
      </c>
      <c r="L73" s="267">
        <f t="shared" si="3"/>
        <v>237.51300000000001</v>
      </c>
      <c r="M73" s="269"/>
      <c r="N73" s="269">
        <f>ROUND(O73*1.1,2)</f>
        <v>19.309999999999999</v>
      </c>
      <c r="O73" s="270">
        <f t="shared" si="45"/>
        <v>17.55</v>
      </c>
      <c r="P73" s="271">
        <v>27</v>
      </c>
      <c r="Q73" s="272" t="s">
        <v>2070</v>
      </c>
      <c r="R73" s="272" t="s">
        <v>1944</v>
      </c>
      <c r="S73" s="269"/>
      <c r="T73" s="269"/>
      <c r="U73" s="269"/>
      <c r="V73" s="269"/>
      <c r="W73" s="269"/>
      <c r="X73" s="219"/>
      <c r="Y73" s="273">
        <v>7.71</v>
      </c>
      <c r="Z73" s="274">
        <f t="shared" si="35"/>
        <v>19.561499999999999</v>
      </c>
      <c r="AC73" s="270">
        <f t="shared" si="46"/>
        <v>17.010000000000002</v>
      </c>
      <c r="AD73" s="270">
        <v>27</v>
      </c>
      <c r="AE73" s="275" t="s">
        <v>2070</v>
      </c>
      <c r="AF73" s="319" t="s">
        <v>1944</v>
      </c>
      <c r="AN73" s="210">
        <f t="shared" si="8"/>
        <v>19.305000000000003</v>
      </c>
      <c r="AO73" s="210">
        <f t="shared" si="9"/>
        <v>193.05000000000004</v>
      </c>
    </row>
    <row r="74" spans="2:41" ht="25.5">
      <c r="B74" s="264" t="s">
        <v>326</v>
      </c>
      <c r="C74" s="265" t="s">
        <v>2063</v>
      </c>
      <c r="D74" s="266" t="s">
        <v>2071</v>
      </c>
      <c r="E74" s="266">
        <v>2000</v>
      </c>
      <c r="F74" s="265" t="s">
        <v>708</v>
      </c>
      <c r="G74" s="266">
        <v>10</v>
      </c>
      <c r="H74" s="267">
        <f t="shared" si="43"/>
        <v>27.3</v>
      </c>
      <c r="I74" s="267">
        <f t="shared" si="1"/>
        <v>273</v>
      </c>
      <c r="J74" s="267">
        <f t="shared" si="2"/>
        <v>62.79000000000002</v>
      </c>
      <c r="K74" s="268">
        <v>0.23</v>
      </c>
      <c r="L74" s="267">
        <f t="shared" si="3"/>
        <v>335.79</v>
      </c>
      <c r="M74" s="269"/>
      <c r="N74" s="269">
        <f>ROUND(O74*1.05,2)</f>
        <v>27.3</v>
      </c>
      <c r="O74" s="270">
        <f t="shared" si="45"/>
        <v>26</v>
      </c>
      <c r="P74" s="271">
        <v>40</v>
      </c>
      <c r="Q74" s="272" t="s">
        <v>2071</v>
      </c>
      <c r="R74" s="272" t="s">
        <v>1944</v>
      </c>
      <c r="S74" s="269"/>
      <c r="T74" s="269"/>
      <c r="U74" s="269"/>
      <c r="V74" s="269"/>
      <c r="W74" s="269"/>
      <c r="X74" s="219"/>
      <c r="Y74" s="273">
        <v>18.41</v>
      </c>
      <c r="Z74" s="274">
        <f t="shared" si="35"/>
        <v>28.979999999999997</v>
      </c>
      <c r="AC74" s="270">
        <f t="shared" si="46"/>
        <v>25.2</v>
      </c>
      <c r="AD74" s="270">
        <v>40</v>
      </c>
      <c r="AE74" s="275" t="s">
        <v>2071</v>
      </c>
      <c r="AF74" s="319" t="s">
        <v>1944</v>
      </c>
      <c r="AN74" s="210">
        <f t="shared" si="8"/>
        <v>28.6</v>
      </c>
      <c r="AO74" s="210">
        <f t="shared" si="9"/>
        <v>286</v>
      </c>
    </row>
    <row r="75" spans="2:41" ht="25.5">
      <c r="B75" s="264" t="s">
        <v>331</v>
      </c>
      <c r="C75" s="265" t="s">
        <v>2072</v>
      </c>
      <c r="D75" s="266" t="s">
        <v>2073</v>
      </c>
      <c r="E75" s="266">
        <v>100</v>
      </c>
      <c r="F75" s="265" t="s">
        <v>708</v>
      </c>
      <c r="G75" s="266">
        <v>30</v>
      </c>
      <c r="H75" s="267">
        <f t="shared" si="43"/>
        <v>3.08</v>
      </c>
      <c r="I75" s="267">
        <f t="shared" si="1"/>
        <v>92.4</v>
      </c>
      <c r="J75" s="267">
        <f t="shared" si="2"/>
        <v>21.25200000000001</v>
      </c>
      <c r="K75" s="268">
        <v>0.23</v>
      </c>
      <c r="L75" s="267">
        <f t="shared" si="3"/>
        <v>113.65200000000002</v>
      </c>
      <c r="M75" s="269"/>
      <c r="N75" s="269">
        <f>ROUND(O75*1.13,2)</f>
        <v>3.08</v>
      </c>
      <c r="O75" s="270">
        <f>P75*0.65</f>
        <v>2.7300000000000004</v>
      </c>
      <c r="P75" s="271">
        <v>4.2</v>
      </c>
      <c r="Q75" s="272" t="s">
        <v>2074</v>
      </c>
      <c r="R75" s="272" t="s">
        <v>1944</v>
      </c>
      <c r="S75" s="269"/>
      <c r="T75" s="269"/>
      <c r="U75" s="269"/>
      <c r="V75" s="269"/>
      <c r="W75" s="269"/>
      <c r="X75" s="219"/>
      <c r="Y75" s="273">
        <v>1.92</v>
      </c>
      <c r="Z75" s="274">
        <f t="shared" si="35"/>
        <v>2.7530999999999994</v>
      </c>
      <c r="AC75" s="270">
        <f t="shared" si="46"/>
        <v>2.3939999999999997</v>
      </c>
      <c r="AD75" s="270">
        <v>3.8</v>
      </c>
      <c r="AE75" s="323" t="s">
        <v>2074</v>
      </c>
      <c r="AF75" s="319" t="s">
        <v>1944</v>
      </c>
      <c r="AN75" s="210">
        <f t="shared" si="8"/>
        <v>3.0030000000000006</v>
      </c>
      <c r="AO75" s="210">
        <f t="shared" si="9"/>
        <v>90.090000000000018</v>
      </c>
    </row>
    <row r="76" spans="2:41" ht="25.5">
      <c r="B76" s="264" t="s">
        <v>335</v>
      </c>
      <c r="C76" s="265" t="s">
        <v>2072</v>
      </c>
      <c r="D76" s="266" t="s">
        <v>2075</v>
      </c>
      <c r="E76" s="266">
        <v>200</v>
      </c>
      <c r="F76" s="265" t="s">
        <v>708</v>
      </c>
      <c r="G76" s="266">
        <v>30</v>
      </c>
      <c r="H76" s="267">
        <f t="shared" si="43"/>
        <v>3.31</v>
      </c>
      <c r="I76" s="267">
        <f t="shared" si="1"/>
        <v>99.3</v>
      </c>
      <c r="J76" s="267">
        <f t="shared" si="2"/>
        <v>22.838999999999999</v>
      </c>
      <c r="K76" s="268">
        <v>0.23</v>
      </c>
      <c r="L76" s="267">
        <f t="shared" si="3"/>
        <v>122.139</v>
      </c>
      <c r="M76" s="269"/>
      <c r="N76" s="269">
        <f t="shared" ref="N76:N85" si="47">ROUND(O76*1.13,2)</f>
        <v>3.31</v>
      </c>
      <c r="O76" s="270">
        <f t="shared" ref="O76:O96" si="48">P76*0.65</f>
        <v>2.9250000000000003</v>
      </c>
      <c r="P76" s="271">
        <v>4.5</v>
      </c>
      <c r="Q76" s="272" t="s">
        <v>2076</v>
      </c>
      <c r="R76" s="272" t="s">
        <v>1944</v>
      </c>
      <c r="S76" s="269"/>
      <c r="T76" s="269"/>
      <c r="U76" s="269"/>
      <c r="V76" s="269"/>
      <c r="W76" s="269"/>
      <c r="X76" s="219"/>
      <c r="Y76" s="273">
        <v>2.08</v>
      </c>
      <c r="Z76" s="274">
        <f t="shared" si="35"/>
        <v>2.9704499999999996</v>
      </c>
      <c r="AC76" s="270">
        <f t="shared" si="46"/>
        <v>2.5829999999999997</v>
      </c>
      <c r="AD76" s="270">
        <v>4.0999999999999996</v>
      </c>
      <c r="AE76" s="272" t="s">
        <v>2076</v>
      </c>
      <c r="AF76" s="319" t="s">
        <v>1944</v>
      </c>
      <c r="AN76" s="210">
        <f t="shared" si="8"/>
        <v>3.2175000000000007</v>
      </c>
      <c r="AO76" s="210">
        <f t="shared" si="9"/>
        <v>96.52500000000002</v>
      </c>
    </row>
    <row r="77" spans="2:41" ht="25.5">
      <c r="B77" s="264" t="s">
        <v>338</v>
      </c>
      <c r="C77" s="265" t="s">
        <v>2072</v>
      </c>
      <c r="D77" s="266" t="s">
        <v>2077</v>
      </c>
      <c r="E77" s="266">
        <v>300</v>
      </c>
      <c r="F77" s="265" t="s">
        <v>708</v>
      </c>
      <c r="G77" s="266">
        <v>30</v>
      </c>
      <c r="H77" s="267">
        <f t="shared" si="43"/>
        <v>4.04</v>
      </c>
      <c r="I77" s="267">
        <f t="shared" si="1"/>
        <v>121.2</v>
      </c>
      <c r="J77" s="267">
        <f t="shared" si="2"/>
        <v>27.875999999999991</v>
      </c>
      <c r="K77" s="268">
        <v>0.23</v>
      </c>
      <c r="L77" s="267">
        <f t="shared" si="3"/>
        <v>149.07599999999999</v>
      </c>
      <c r="M77" s="269"/>
      <c r="N77" s="269">
        <f t="shared" si="47"/>
        <v>4.04</v>
      </c>
      <c r="O77" s="270">
        <f t="shared" si="48"/>
        <v>3.5750000000000002</v>
      </c>
      <c r="P77" s="271">
        <v>5.5</v>
      </c>
      <c r="Q77" s="272" t="s">
        <v>2078</v>
      </c>
      <c r="R77" s="272" t="s">
        <v>1944</v>
      </c>
      <c r="S77" s="269"/>
      <c r="T77" s="269"/>
      <c r="U77" s="269"/>
      <c r="V77" s="269"/>
      <c r="W77" s="269"/>
      <c r="X77" s="219"/>
      <c r="Y77" s="273">
        <v>2.59</v>
      </c>
      <c r="Z77" s="274">
        <f t="shared" si="35"/>
        <v>3.5790299999999999</v>
      </c>
      <c r="AC77" s="270">
        <f t="shared" si="46"/>
        <v>3.1122000000000001</v>
      </c>
      <c r="AD77" s="270">
        <v>4.9400000000000004</v>
      </c>
      <c r="AE77" s="272" t="s">
        <v>2078</v>
      </c>
      <c r="AF77" s="319" t="s">
        <v>1944</v>
      </c>
      <c r="AN77" s="210">
        <f t="shared" ref="AN77:AN140" si="49">O77*1.1</f>
        <v>3.9325000000000006</v>
      </c>
      <c r="AO77" s="210">
        <f t="shared" ref="AO77:AO140" si="50">AN77*G77</f>
        <v>117.97500000000002</v>
      </c>
    </row>
    <row r="78" spans="2:41" ht="25.5">
      <c r="B78" s="264" t="s">
        <v>342</v>
      </c>
      <c r="C78" s="265" t="s">
        <v>2072</v>
      </c>
      <c r="D78" s="266" t="s">
        <v>2079</v>
      </c>
      <c r="E78" s="266">
        <v>1000</v>
      </c>
      <c r="F78" s="265" t="s">
        <v>708</v>
      </c>
      <c r="G78" s="266">
        <v>30</v>
      </c>
      <c r="H78" s="267">
        <f t="shared" si="43"/>
        <v>9.5500000000000007</v>
      </c>
      <c r="I78" s="267">
        <f t="shared" si="1"/>
        <v>286.5</v>
      </c>
      <c r="J78" s="267">
        <f t="shared" si="2"/>
        <v>65.894999999999982</v>
      </c>
      <c r="K78" s="268">
        <v>0.23</v>
      </c>
      <c r="L78" s="267">
        <f t="shared" si="3"/>
        <v>352.39499999999998</v>
      </c>
      <c r="M78" s="269"/>
      <c r="N78" s="269">
        <f t="shared" si="47"/>
        <v>9.5500000000000007</v>
      </c>
      <c r="O78" s="270">
        <f t="shared" si="48"/>
        <v>8.4500000000000011</v>
      </c>
      <c r="P78" s="271">
        <v>13</v>
      </c>
      <c r="Q78" s="272" t="s">
        <v>2080</v>
      </c>
      <c r="R78" s="272" t="s">
        <v>1944</v>
      </c>
      <c r="S78" s="269"/>
      <c r="T78" s="269"/>
      <c r="U78" s="269"/>
      <c r="V78" s="269"/>
      <c r="W78" s="269"/>
      <c r="X78" s="219"/>
      <c r="Y78" s="273">
        <v>6.83</v>
      </c>
      <c r="Z78" s="274">
        <f t="shared" si="35"/>
        <v>8.1143999999999981</v>
      </c>
      <c r="AC78" s="270">
        <f t="shared" si="46"/>
        <v>7.0559999999999992</v>
      </c>
      <c r="AD78" s="270">
        <v>11.2</v>
      </c>
      <c r="AE78" s="272" t="s">
        <v>2080</v>
      </c>
      <c r="AF78" s="319" t="s">
        <v>1944</v>
      </c>
      <c r="AN78" s="210">
        <f t="shared" si="49"/>
        <v>9.2950000000000017</v>
      </c>
      <c r="AO78" s="210">
        <f t="shared" si="50"/>
        <v>278.85000000000002</v>
      </c>
    </row>
    <row r="79" spans="2:41" ht="25.5">
      <c r="B79" s="264" t="s">
        <v>345</v>
      </c>
      <c r="C79" s="265" t="s">
        <v>2081</v>
      </c>
      <c r="D79" s="266" t="s">
        <v>2082</v>
      </c>
      <c r="E79" s="266">
        <v>50</v>
      </c>
      <c r="F79" s="265" t="s">
        <v>708</v>
      </c>
      <c r="G79" s="266">
        <v>30</v>
      </c>
      <c r="H79" s="267">
        <f t="shared" si="43"/>
        <v>2.94</v>
      </c>
      <c r="I79" s="267">
        <f t="shared" si="1"/>
        <v>88.2</v>
      </c>
      <c r="J79" s="267">
        <f t="shared" si="2"/>
        <v>20.286000000000001</v>
      </c>
      <c r="K79" s="268">
        <v>0.23</v>
      </c>
      <c r="L79" s="267">
        <f t="shared" si="3"/>
        <v>108.486</v>
      </c>
      <c r="M79" s="269"/>
      <c r="N79" s="269">
        <f t="shared" si="47"/>
        <v>2.94</v>
      </c>
      <c r="O79" s="270">
        <f t="shared" si="48"/>
        <v>2.6</v>
      </c>
      <c r="P79" s="271">
        <v>4</v>
      </c>
      <c r="Q79" s="272" t="s">
        <v>2083</v>
      </c>
      <c r="R79" s="272" t="s">
        <v>1944</v>
      </c>
      <c r="S79" s="269"/>
      <c r="T79" s="269"/>
      <c r="U79" s="269"/>
      <c r="V79" s="269"/>
      <c r="W79" s="269"/>
      <c r="X79" s="219"/>
      <c r="Y79" s="273">
        <v>1.38</v>
      </c>
      <c r="Z79" s="274">
        <f t="shared" si="35"/>
        <v>2.8979999999999997</v>
      </c>
      <c r="AC79" s="270">
        <f t="shared" si="46"/>
        <v>2.52</v>
      </c>
      <c r="AD79" s="270">
        <v>4</v>
      </c>
      <c r="AE79" s="272" t="s">
        <v>2083</v>
      </c>
      <c r="AF79" s="319" t="s">
        <v>1944</v>
      </c>
      <c r="AN79" s="210">
        <f t="shared" si="49"/>
        <v>2.8600000000000003</v>
      </c>
      <c r="AO79" s="210">
        <f t="shared" si="50"/>
        <v>85.800000000000011</v>
      </c>
    </row>
    <row r="80" spans="2:41" ht="25.5">
      <c r="B80" s="264" t="s">
        <v>348</v>
      </c>
      <c r="C80" s="265" t="s">
        <v>2081</v>
      </c>
      <c r="D80" s="266" t="s">
        <v>2084</v>
      </c>
      <c r="E80" s="266">
        <v>100</v>
      </c>
      <c r="F80" s="265" t="s">
        <v>708</v>
      </c>
      <c r="G80" s="266">
        <v>30</v>
      </c>
      <c r="H80" s="267">
        <f t="shared" si="43"/>
        <v>3.08</v>
      </c>
      <c r="I80" s="267">
        <f t="shared" si="1"/>
        <v>92.4</v>
      </c>
      <c r="J80" s="267">
        <f t="shared" si="2"/>
        <v>21.25200000000001</v>
      </c>
      <c r="K80" s="268">
        <v>0.23</v>
      </c>
      <c r="L80" s="267">
        <f t="shared" si="3"/>
        <v>113.65200000000002</v>
      </c>
      <c r="M80" s="269"/>
      <c r="N80" s="269">
        <f t="shared" si="47"/>
        <v>3.08</v>
      </c>
      <c r="O80" s="270">
        <f t="shared" si="48"/>
        <v>2.7300000000000004</v>
      </c>
      <c r="P80" s="271">
        <v>4.2</v>
      </c>
      <c r="Q80" s="272" t="s">
        <v>2085</v>
      </c>
      <c r="R80" s="272" t="s">
        <v>1944</v>
      </c>
      <c r="S80" s="269"/>
      <c r="T80" s="269"/>
      <c r="U80" s="269"/>
      <c r="V80" s="269"/>
      <c r="W80" s="269"/>
      <c r="X80" s="219"/>
      <c r="Y80" s="273">
        <v>1.55</v>
      </c>
      <c r="Z80" s="274">
        <f t="shared" si="35"/>
        <v>3.0936149999999993</v>
      </c>
      <c r="AC80" s="270">
        <f t="shared" si="46"/>
        <v>2.6900999999999997</v>
      </c>
      <c r="AD80" s="270">
        <v>4.2699999999999996</v>
      </c>
      <c r="AE80" s="272" t="s">
        <v>2085</v>
      </c>
      <c r="AF80" s="319" t="s">
        <v>1944</v>
      </c>
      <c r="AN80" s="210">
        <f t="shared" si="49"/>
        <v>3.0030000000000006</v>
      </c>
      <c r="AO80" s="210">
        <f t="shared" si="50"/>
        <v>90.090000000000018</v>
      </c>
    </row>
    <row r="81" spans="2:41" ht="25.5">
      <c r="B81" s="264" t="s">
        <v>351</v>
      </c>
      <c r="C81" s="265" t="s">
        <v>2081</v>
      </c>
      <c r="D81" s="266" t="s">
        <v>2086</v>
      </c>
      <c r="E81" s="266">
        <v>200</v>
      </c>
      <c r="F81" s="265" t="s">
        <v>708</v>
      </c>
      <c r="G81" s="266">
        <v>30</v>
      </c>
      <c r="H81" s="267">
        <f t="shared" si="43"/>
        <v>3.31</v>
      </c>
      <c r="I81" s="267">
        <f t="shared" si="1"/>
        <v>99.3</v>
      </c>
      <c r="J81" s="267">
        <f t="shared" si="2"/>
        <v>22.838999999999999</v>
      </c>
      <c r="K81" s="268">
        <v>0.23</v>
      </c>
      <c r="L81" s="267">
        <f t="shared" si="3"/>
        <v>122.139</v>
      </c>
      <c r="M81" s="269"/>
      <c r="N81" s="269">
        <f t="shared" si="47"/>
        <v>3.31</v>
      </c>
      <c r="O81" s="270">
        <f t="shared" si="48"/>
        <v>2.9250000000000003</v>
      </c>
      <c r="P81" s="271">
        <v>4.5</v>
      </c>
      <c r="Q81" s="272" t="s">
        <v>2087</v>
      </c>
      <c r="R81" s="272" t="s">
        <v>1944</v>
      </c>
      <c r="S81" s="269"/>
      <c r="T81" s="269"/>
      <c r="U81" s="269"/>
      <c r="V81" s="269"/>
      <c r="W81" s="269"/>
      <c r="X81" s="219"/>
      <c r="Y81" s="273">
        <v>1.74</v>
      </c>
      <c r="Z81" s="274">
        <f t="shared" si="35"/>
        <v>3.15882</v>
      </c>
      <c r="AC81" s="270">
        <f t="shared" si="46"/>
        <v>2.7468000000000004</v>
      </c>
      <c r="AD81" s="270">
        <v>4.3600000000000003</v>
      </c>
      <c r="AE81" s="272" t="s">
        <v>2087</v>
      </c>
      <c r="AF81" s="319" t="s">
        <v>1944</v>
      </c>
      <c r="AN81" s="210">
        <f t="shared" si="49"/>
        <v>3.2175000000000007</v>
      </c>
      <c r="AO81" s="210">
        <f t="shared" si="50"/>
        <v>96.52500000000002</v>
      </c>
    </row>
    <row r="82" spans="2:41" ht="25.5">
      <c r="B82" s="264" t="s">
        <v>356</v>
      </c>
      <c r="C82" s="265" t="s">
        <v>2081</v>
      </c>
      <c r="D82" s="266" t="s">
        <v>2088</v>
      </c>
      <c r="E82" s="266">
        <v>250</v>
      </c>
      <c r="F82" s="265" t="s">
        <v>708</v>
      </c>
      <c r="G82" s="266">
        <v>30</v>
      </c>
      <c r="H82" s="267">
        <f t="shared" si="43"/>
        <v>3.53</v>
      </c>
      <c r="I82" s="267">
        <f t="shared" ref="I82:I146" si="51">H82*G82</f>
        <v>105.89999999999999</v>
      </c>
      <c r="J82" s="267">
        <f t="shared" ref="J82:J146" si="52">L82-I82</f>
        <v>24.357000000000014</v>
      </c>
      <c r="K82" s="268">
        <v>0.23</v>
      </c>
      <c r="L82" s="267">
        <f t="shared" ref="L82:L146" si="53">I82+I82*K82</f>
        <v>130.25700000000001</v>
      </c>
      <c r="M82" s="269"/>
      <c r="N82" s="269">
        <f t="shared" si="47"/>
        <v>3.53</v>
      </c>
      <c r="O82" s="270">
        <f t="shared" si="48"/>
        <v>3.12</v>
      </c>
      <c r="P82" s="271">
        <v>4.8</v>
      </c>
      <c r="Q82" s="272" t="s">
        <v>2089</v>
      </c>
      <c r="R82" s="272" t="s">
        <v>1944</v>
      </c>
      <c r="S82" s="269"/>
      <c r="T82" s="269"/>
      <c r="U82" s="269"/>
      <c r="V82" s="269"/>
      <c r="W82" s="269"/>
      <c r="X82" s="219"/>
      <c r="Y82" s="273">
        <v>2.09</v>
      </c>
      <c r="Z82" s="274">
        <f t="shared" si="35"/>
        <v>3.1878000000000002</v>
      </c>
      <c r="AC82" s="270">
        <f t="shared" si="46"/>
        <v>2.7720000000000002</v>
      </c>
      <c r="AD82" s="270">
        <v>4.4000000000000004</v>
      </c>
      <c r="AE82" s="272" t="s">
        <v>2089</v>
      </c>
      <c r="AF82" s="319" t="s">
        <v>1944</v>
      </c>
      <c r="AN82" s="210">
        <f t="shared" si="49"/>
        <v>3.4320000000000004</v>
      </c>
      <c r="AO82" s="210">
        <f t="shared" si="50"/>
        <v>102.96000000000001</v>
      </c>
    </row>
    <row r="83" spans="2:41" ht="25.5">
      <c r="B83" s="264" t="s">
        <v>362</v>
      </c>
      <c r="C83" s="265" t="s">
        <v>2081</v>
      </c>
      <c r="D83" s="266" t="s">
        <v>2090</v>
      </c>
      <c r="E83" s="266">
        <v>300</v>
      </c>
      <c r="F83" s="265" t="s">
        <v>708</v>
      </c>
      <c r="G83" s="266">
        <v>30</v>
      </c>
      <c r="H83" s="267">
        <f t="shared" si="43"/>
        <v>4.04</v>
      </c>
      <c r="I83" s="267">
        <f t="shared" si="51"/>
        <v>121.2</v>
      </c>
      <c r="J83" s="267">
        <f t="shared" si="52"/>
        <v>27.875999999999991</v>
      </c>
      <c r="K83" s="268">
        <v>0.23</v>
      </c>
      <c r="L83" s="267">
        <f t="shared" si="53"/>
        <v>149.07599999999999</v>
      </c>
      <c r="M83" s="269"/>
      <c r="N83" s="269">
        <f t="shared" si="47"/>
        <v>4.04</v>
      </c>
      <c r="O83" s="270">
        <f t="shared" si="48"/>
        <v>3.5750000000000002</v>
      </c>
      <c r="P83" s="271">
        <v>5.5</v>
      </c>
      <c r="Q83" s="272" t="s">
        <v>2091</v>
      </c>
      <c r="R83" s="272" t="s">
        <v>1944</v>
      </c>
      <c r="S83" s="269"/>
      <c r="T83" s="269"/>
      <c r="U83" s="269"/>
      <c r="V83" s="269"/>
      <c r="W83" s="269"/>
      <c r="X83" s="219"/>
      <c r="Y83" s="273">
        <v>2.2000000000000002</v>
      </c>
      <c r="Z83" s="274">
        <f t="shared" si="35"/>
        <v>3.4775999999999998</v>
      </c>
      <c r="AC83" s="270">
        <f t="shared" si="46"/>
        <v>3.024</v>
      </c>
      <c r="AD83" s="270">
        <v>4.8</v>
      </c>
      <c r="AE83" s="272" t="s">
        <v>2091</v>
      </c>
      <c r="AF83" s="319" t="s">
        <v>1944</v>
      </c>
      <c r="AN83" s="210">
        <f t="shared" si="49"/>
        <v>3.9325000000000006</v>
      </c>
      <c r="AO83" s="210">
        <f t="shared" si="50"/>
        <v>117.97500000000002</v>
      </c>
    </row>
    <row r="84" spans="2:41" ht="25.5">
      <c r="B84" s="264" t="s">
        <v>367</v>
      </c>
      <c r="C84" s="265" t="s">
        <v>2081</v>
      </c>
      <c r="D84" s="266" t="s">
        <v>2092</v>
      </c>
      <c r="E84" s="266">
        <v>500</v>
      </c>
      <c r="F84" s="265" t="s">
        <v>708</v>
      </c>
      <c r="G84" s="266">
        <v>30</v>
      </c>
      <c r="H84" s="267">
        <f t="shared" si="43"/>
        <v>5.29</v>
      </c>
      <c r="I84" s="267">
        <f t="shared" si="51"/>
        <v>158.69999999999999</v>
      </c>
      <c r="J84" s="267">
        <f t="shared" si="52"/>
        <v>36.501000000000005</v>
      </c>
      <c r="K84" s="268">
        <v>0.23</v>
      </c>
      <c r="L84" s="267">
        <f t="shared" si="53"/>
        <v>195.20099999999999</v>
      </c>
      <c r="M84" s="269"/>
      <c r="N84" s="269">
        <f t="shared" si="47"/>
        <v>5.29</v>
      </c>
      <c r="O84" s="270">
        <f t="shared" si="48"/>
        <v>4.6800000000000006</v>
      </c>
      <c r="P84" s="271">
        <v>7.2</v>
      </c>
      <c r="Q84" s="272" t="s">
        <v>2093</v>
      </c>
      <c r="R84" s="272" t="s">
        <v>1944</v>
      </c>
      <c r="S84" s="269"/>
      <c r="T84" s="269"/>
      <c r="U84" s="269"/>
      <c r="V84" s="269"/>
      <c r="W84" s="269"/>
      <c r="X84" s="219"/>
      <c r="Y84" s="273">
        <v>3.42</v>
      </c>
      <c r="Z84" s="274">
        <f t="shared" si="35"/>
        <v>4.4194499999999994</v>
      </c>
      <c r="AC84" s="270">
        <f t="shared" si="46"/>
        <v>3.843</v>
      </c>
      <c r="AD84" s="270">
        <v>6.1</v>
      </c>
      <c r="AE84" s="272" t="s">
        <v>2093</v>
      </c>
      <c r="AF84" s="319" t="s">
        <v>1944</v>
      </c>
      <c r="AN84" s="210">
        <f t="shared" si="49"/>
        <v>5.1480000000000015</v>
      </c>
      <c r="AO84" s="210">
        <f t="shared" si="50"/>
        <v>154.44000000000005</v>
      </c>
    </row>
    <row r="85" spans="2:41" ht="25.5">
      <c r="B85" s="264" t="s">
        <v>371</v>
      </c>
      <c r="C85" s="265" t="s">
        <v>2081</v>
      </c>
      <c r="D85" s="266" t="s">
        <v>2094</v>
      </c>
      <c r="E85" s="266">
        <v>1000</v>
      </c>
      <c r="F85" s="265" t="s">
        <v>708</v>
      </c>
      <c r="G85" s="266">
        <v>10</v>
      </c>
      <c r="H85" s="267">
        <f t="shared" si="43"/>
        <v>9.5500000000000007</v>
      </c>
      <c r="I85" s="267">
        <f t="shared" si="51"/>
        <v>95.5</v>
      </c>
      <c r="J85" s="267">
        <f t="shared" si="52"/>
        <v>21.965000000000003</v>
      </c>
      <c r="K85" s="268">
        <v>0.23</v>
      </c>
      <c r="L85" s="267">
        <f t="shared" si="53"/>
        <v>117.465</v>
      </c>
      <c r="M85" s="269"/>
      <c r="N85" s="269">
        <f t="shared" si="47"/>
        <v>9.5500000000000007</v>
      </c>
      <c r="O85" s="270">
        <f t="shared" si="48"/>
        <v>8.4500000000000011</v>
      </c>
      <c r="P85" s="271">
        <v>13</v>
      </c>
      <c r="Q85" s="272" t="s">
        <v>2095</v>
      </c>
      <c r="R85" s="272" t="s">
        <v>1944</v>
      </c>
      <c r="S85" s="269"/>
      <c r="T85" s="269"/>
      <c r="U85" s="269"/>
      <c r="V85" s="269"/>
      <c r="W85" s="269"/>
      <c r="X85" s="219"/>
      <c r="Y85" s="273">
        <v>5.86</v>
      </c>
      <c r="Z85" s="274">
        <f t="shared" si="35"/>
        <v>7.2087749999999993</v>
      </c>
      <c r="AC85" s="270">
        <f t="shared" si="46"/>
        <v>6.2684999999999995</v>
      </c>
      <c r="AD85" s="270">
        <v>9.9499999999999993</v>
      </c>
      <c r="AE85" s="272" t="s">
        <v>2095</v>
      </c>
      <c r="AF85" s="319" t="s">
        <v>1944</v>
      </c>
      <c r="AN85" s="210">
        <f t="shared" si="49"/>
        <v>9.2950000000000017</v>
      </c>
      <c r="AO85" s="210">
        <f t="shared" si="50"/>
        <v>92.950000000000017</v>
      </c>
    </row>
    <row r="86" spans="2:41" ht="25.5">
      <c r="B86" s="264" t="s">
        <v>375</v>
      </c>
      <c r="C86" s="265" t="s">
        <v>2096</v>
      </c>
      <c r="D86" s="266" t="s">
        <v>2097</v>
      </c>
      <c r="E86" s="266">
        <v>100</v>
      </c>
      <c r="F86" s="265" t="s">
        <v>708</v>
      </c>
      <c r="G86" s="266">
        <v>10</v>
      </c>
      <c r="H86" s="267">
        <f t="shared" si="43"/>
        <v>7.12</v>
      </c>
      <c r="I86" s="267">
        <f t="shared" si="51"/>
        <v>71.2</v>
      </c>
      <c r="J86" s="267">
        <f t="shared" si="52"/>
        <v>16.376000000000005</v>
      </c>
      <c r="K86" s="268">
        <v>0.23</v>
      </c>
      <c r="L86" s="267">
        <f t="shared" si="53"/>
        <v>87.576000000000008</v>
      </c>
      <c r="M86" s="269"/>
      <c r="N86" s="269">
        <f>ROUND(O86*1.13,2)</f>
        <v>7.12</v>
      </c>
      <c r="O86" s="270">
        <f t="shared" si="48"/>
        <v>6.3049999999999997</v>
      </c>
      <c r="P86" s="271">
        <v>9.6999999999999993</v>
      </c>
      <c r="Q86" s="272" t="s">
        <v>2098</v>
      </c>
      <c r="R86" s="272" t="s">
        <v>1944</v>
      </c>
      <c r="S86" s="269"/>
      <c r="T86" s="269"/>
      <c r="U86" s="269"/>
      <c r="V86" s="269"/>
      <c r="W86" s="269"/>
      <c r="X86" s="219"/>
      <c r="Y86" s="273">
        <v>4.13</v>
      </c>
      <c r="Z86" s="274">
        <f t="shared" si="35"/>
        <v>6.3756000000000004</v>
      </c>
      <c r="AC86" s="270">
        <f t="shared" si="46"/>
        <v>5.5440000000000005</v>
      </c>
      <c r="AD86" s="270">
        <v>8.8000000000000007</v>
      </c>
      <c r="AE86" s="272" t="s">
        <v>2098</v>
      </c>
      <c r="AF86" s="319" t="s">
        <v>1944</v>
      </c>
      <c r="AN86" s="210">
        <f t="shared" si="49"/>
        <v>6.9355000000000002</v>
      </c>
      <c r="AO86" s="210">
        <f t="shared" si="50"/>
        <v>69.355000000000004</v>
      </c>
    </row>
    <row r="87" spans="2:41" ht="25.5">
      <c r="B87" s="264" t="s">
        <v>378</v>
      </c>
      <c r="C87" s="265" t="s">
        <v>2099</v>
      </c>
      <c r="D87" s="266" t="s">
        <v>2100</v>
      </c>
      <c r="E87" s="266">
        <v>100</v>
      </c>
      <c r="F87" s="265" t="s">
        <v>708</v>
      </c>
      <c r="G87" s="266">
        <v>10</v>
      </c>
      <c r="H87" s="267">
        <f t="shared" si="43"/>
        <v>8.81</v>
      </c>
      <c r="I87" s="267">
        <f t="shared" si="51"/>
        <v>88.100000000000009</v>
      </c>
      <c r="J87" s="267">
        <f t="shared" si="52"/>
        <v>20.263000000000005</v>
      </c>
      <c r="K87" s="268">
        <v>0.23</v>
      </c>
      <c r="L87" s="267">
        <f t="shared" si="53"/>
        <v>108.36300000000001</v>
      </c>
      <c r="M87" s="269"/>
      <c r="N87" s="269">
        <f t="shared" ref="N87:N91" si="54">ROUND(O87*1.13,2)</f>
        <v>8.81</v>
      </c>
      <c r="O87" s="270">
        <f t="shared" si="48"/>
        <v>7.8000000000000007</v>
      </c>
      <c r="P87" s="271">
        <v>12</v>
      </c>
      <c r="Q87" s="272" t="s">
        <v>2101</v>
      </c>
      <c r="R87" s="272" t="s">
        <v>1944</v>
      </c>
      <c r="S87" s="269"/>
      <c r="T87" s="269"/>
      <c r="U87" s="269"/>
      <c r="V87" s="269"/>
      <c r="W87" s="269"/>
      <c r="X87" s="219"/>
      <c r="Y87" s="273">
        <v>5.33</v>
      </c>
      <c r="Z87" s="274">
        <f t="shared" si="35"/>
        <v>8.3317499999999995</v>
      </c>
      <c r="AC87" s="270">
        <f t="shared" si="46"/>
        <v>7.2450000000000001</v>
      </c>
      <c r="AD87" s="270">
        <v>11.5</v>
      </c>
      <c r="AE87" s="272" t="s">
        <v>2101</v>
      </c>
      <c r="AF87" s="319" t="s">
        <v>1944</v>
      </c>
      <c r="AN87" s="210">
        <f t="shared" si="49"/>
        <v>8.5800000000000018</v>
      </c>
      <c r="AO87" s="210">
        <f t="shared" si="50"/>
        <v>85.800000000000011</v>
      </c>
    </row>
    <row r="88" spans="2:41" ht="25.5">
      <c r="B88" s="264" t="s">
        <v>381</v>
      </c>
      <c r="C88" s="265" t="s">
        <v>2099</v>
      </c>
      <c r="D88" s="266" t="s">
        <v>2102</v>
      </c>
      <c r="E88" s="266">
        <v>200</v>
      </c>
      <c r="F88" s="265" t="s">
        <v>708</v>
      </c>
      <c r="G88" s="266">
        <v>20</v>
      </c>
      <c r="H88" s="267">
        <f t="shared" si="43"/>
        <v>10.36</v>
      </c>
      <c r="I88" s="267">
        <f t="shared" si="51"/>
        <v>207.2</v>
      </c>
      <c r="J88" s="267">
        <f t="shared" si="52"/>
        <v>47.656000000000006</v>
      </c>
      <c r="K88" s="268">
        <v>0.23</v>
      </c>
      <c r="L88" s="267">
        <f t="shared" si="53"/>
        <v>254.85599999999999</v>
      </c>
      <c r="M88" s="269"/>
      <c r="N88" s="269">
        <f t="shared" si="54"/>
        <v>10.36</v>
      </c>
      <c r="O88" s="270">
        <f t="shared" si="48"/>
        <v>9.1650000000000009</v>
      </c>
      <c r="P88" s="271">
        <v>14.1</v>
      </c>
      <c r="Q88" s="272" t="s">
        <v>2103</v>
      </c>
      <c r="R88" s="272" t="s">
        <v>1944</v>
      </c>
      <c r="S88" s="269"/>
      <c r="T88" s="269"/>
      <c r="U88" s="269"/>
      <c r="V88" s="269"/>
      <c r="W88" s="269"/>
      <c r="X88" s="219"/>
      <c r="Y88" s="273">
        <v>12.24</v>
      </c>
      <c r="Z88" s="274">
        <f t="shared" si="35"/>
        <v>9.6358500000000014</v>
      </c>
      <c r="AC88" s="270">
        <f t="shared" si="46"/>
        <v>8.3790000000000013</v>
      </c>
      <c r="AD88" s="270">
        <v>13.3</v>
      </c>
      <c r="AE88" s="272" t="s">
        <v>2103</v>
      </c>
      <c r="AF88" s="319" t="s">
        <v>1944</v>
      </c>
      <c r="AN88" s="210">
        <f t="shared" si="49"/>
        <v>10.081500000000002</v>
      </c>
      <c r="AO88" s="210">
        <f t="shared" si="50"/>
        <v>201.63000000000005</v>
      </c>
    </row>
    <row r="89" spans="2:41" ht="25.5">
      <c r="B89" s="264" t="s">
        <v>385</v>
      </c>
      <c r="C89" s="265" t="s">
        <v>2099</v>
      </c>
      <c r="D89" s="266" t="s">
        <v>2104</v>
      </c>
      <c r="E89" s="266">
        <v>250</v>
      </c>
      <c r="F89" s="265" t="s">
        <v>708</v>
      </c>
      <c r="G89" s="266">
        <v>30</v>
      </c>
      <c r="H89" s="267">
        <f t="shared" si="43"/>
        <v>10.43</v>
      </c>
      <c r="I89" s="267">
        <f t="shared" si="51"/>
        <v>312.89999999999998</v>
      </c>
      <c r="J89" s="267">
        <f t="shared" si="52"/>
        <v>71.966999999999985</v>
      </c>
      <c r="K89" s="268">
        <v>0.23</v>
      </c>
      <c r="L89" s="267">
        <f t="shared" si="53"/>
        <v>384.86699999999996</v>
      </c>
      <c r="M89" s="269"/>
      <c r="N89" s="269">
        <f t="shared" si="54"/>
        <v>10.43</v>
      </c>
      <c r="O89" s="270">
        <f t="shared" si="48"/>
        <v>9.23</v>
      </c>
      <c r="P89" s="271">
        <v>14.2</v>
      </c>
      <c r="Q89" s="272" t="s">
        <v>2105</v>
      </c>
      <c r="R89" s="272" t="s">
        <v>1944</v>
      </c>
      <c r="S89" s="269"/>
      <c r="T89" s="269"/>
      <c r="U89" s="269"/>
      <c r="V89" s="269"/>
      <c r="W89" s="269"/>
      <c r="X89" s="219"/>
      <c r="Y89" s="273">
        <v>6.4</v>
      </c>
      <c r="Z89" s="274">
        <f t="shared" si="35"/>
        <v>9.7082999999999995</v>
      </c>
      <c r="AC89" s="270">
        <f t="shared" si="46"/>
        <v>8.4420000000000002</v>
      </c>
      <c r="AD89" s="270">
        <v>13.4</v>
      </c>
      <c r="AE89" s="272" t="s">
        <v>2105</v>
      </c>
      <c r="AF89" s="319" t="s">
        <v>1944</v>
      </c>
      <c r="AN89" s="210">
        <f t="shared" si="49"/>
        <v>10.153</v>
      </c>
      <c r="AO89" s="210">
        <f t="shared" si="50"/>
        <v>304.59000000000003</v>
      </c>
    </row>
    <row r="90" spans="2:41" ht="25.5">
      <c r="B90" s="264" t="s">
        <v>388</v>
      </c>
      <c r="C90" s="265" t="s">
        <v>2106</v>
      </c>
      <c r="D90" s="266" t="s">
        <v>2107</v>
      </c>
      <c r="E90" s="266">
        <v>300</v>
      </c>
      <c r="F90" s="265" t="s">
        <v>708</v>
      </c>
      <c r="G90" s="266">
        <v>30</v>
      </c>
      <c r="H90" s="267">
        <f t="shared" si="43"/>
        <v>12.12</v>
      </c>
      <c r="I90" s="267">
        <f t="shared" si="51"/>
        <v>363.59999999999997</v>
      </c>
      <c r="J90" s="267">
        <f t="shared" si="52"/>
        <v>83.627999999999986</v>
      </c>
      <c r="K90" s="268">
        <v>0.23</v>
      </c>
      <c r="L90" s="267">
        <f t="shared" si="53"/>
        <v>447.22799999999995</v>
      </c>
      <c r="M90" s="269"/>
      <c r="N90" s="269">
        <f t="shared" si="54"/>
        <v>12.12</v>
      </c>
      <c r="O90" s="270">
        <f t="shared" si="48"/>
        <v>10.725</v>
      </c>
      <c r="P90" s="271">
        <v>16.5</v>
      </c>
      <c r="Q90" s="272" t="s">
        <v>2108</v>
      </c>
      <c r="R90" s="272" t="s">
        <v>1944</v>
      </c>
      <c r="S90" s="269"/>
      <c r="T90" s="269"/>
      <c r="U90" s="269"/>
      <c r="V90" s="269"/>
      <c r="W90" s="269"/>
      <c r="X90" s="219"/>
      <c r="Y90" s="297">
        <v>13.8</v>
      </c>
      <c r="Z90" s="298">
        <f>AC90*1.15</f>
        <v>10.867499999999998</v>
      </c>
      <c r="AA90" s="299"/>
      <c r="AB90" s="300"/>
      <c r="AC90" s="301">
        <f t="shared" si="46"/>
        <v>9.4499999999999993</v>
      </c>
      <c r="AD90" s="301">
        <v>15</v>
      </c>
      <c r="AE90" s="302" t="s">
        <v>2108</v>
      </c>
      <c r="AF90" s="302" t="s">
        <v>1944</v>
      </c>
      <c r="AN90" s="210">
        <f t="shared" si="49"/>
        <v>11.797500000000001</v>
      </c>
      <c r="AO90" s="210">
        <f t="shared" si="50"/>
        <v>353.92500000000001</v>
      </c>
    </row>
    <row r="91" spans="2:41" ht="25.5">
      <c r="B91" s="264" t="s">
        <v>393</v>
      </c>
      <c r="C91" s="265" t="s">
        <v>2099</v>
      </c>
      <c r="D91" s="266" t="s">
        <v>2109</v>
      </c>
      <c r="E91" s="266">
        <v>500</v>
      </c>
      <c r="F91" s="265" t="s">
        <v>708</v>
      </c>
      <c r="G91" s="266">
        <v>30</v>
      </c>
      <c r="H91" s="267">
        <f t="shared" si="43"/>
        <v>14.69</v>
      </c>
      <c r="I91" s="267">
        <f t="shared" si="51"/>
        <v>440.7</v>
      </c>
      <c r="J91" s="267">
        <f t="shared" si="52"/>
        <v>101.36100000000005</v>
      </c>
      <c r="K91" s="268">
        <v>0.23</v>
      </c>
      <c r="L91" s="267">
        <f t="shared" si="53"/>
        <v>542.06100000000004</v>
      </c>
      <c r="M91" s="269"/>
      <c r="N91" s="269">
        <f t="shared" si="54"/>
        <v>14.69</v>
      </c>
      <c r="O91" s="270">
        <f t="shared" si="48"/>
        <v>13</v>
      </c>
      <c r="P91" s="271">
        <v>20</v>
      </c>
      <c r="Q91" s="272" t="s">
        <v>2110</v>
      </c>
      <c r="R91" s="272" t="s">
        <v>1944</v>
      </c>
      <c r="S91" s="269"/>
      <c r="T91" s="269"/>
      <c r="U91" s="269"/>
      <c r="V91" s="269"/>
      <c r="W91" s="269"/>
      <c r="X91" s="219"/>
      <c r="Y91" s="273">
        <v>7.94</v>
      </c>
      <c r="Z91" s="274">
        <f>AC91*1.15</f>
        <v>13.765499999999999</v>
      </c>
      <c r="AC91" s="270">
        <f t="shared" si="46"/>
        <v>11.97</v>
      </c>
      <c r="AD91" s="270">
        <v>19</v>
      </c>
      <c r="AE91" s="272" t="s">
        <v>2110</v>
      </c>
      <c r="AF91" s="319" t="s">
        <v>1944</v>
      </c>
      <c r="AN91" s="210">
        <f t="shared" si="49"/>
        <v>14.3</v>
      </c>
      <c r="AO91" s="210">
        <f t="shared" si="50"/>
        <v>429</v>
      </c>
    </row>
    <row r="92" spans="2:41" ht="25.5">
      <c r="B92" s="264" t="s">
        <v>398</v>
      </c>
      <c r="C92" s="265" t="s">
        <v>2111</v>
      </c>
      <c r="D92" s="266" t="s">
        <v>2112</v>
      </c>
      <c r="E92" s="266">
        <v>50</v>
      </c>
      <c r="F92" s="265" t="s">
        <v>708</v>
      </c>
      <c r="G92" s="266">
        <v>40</v>
      </c>
      <c r="H92" s="267">
        <f t="shared" si="43"/>
        <v>11.45</v>
      </c>
      <c r="I92" s="267">
        <f t="shared" si="51"/>
        <v>458</v>
      </c>
      <c r="J92" s="267">
        <f t="shared" si="52"/>
        <v>105.34000000000003</v>
      </c>
      <c r="K92" s="268">
        <v>0.23</v>
      </c>
      <c r="L92" s="267">
        <f t="shared" si="53"/>
        <v>563.34</v>
      </c>
      <c r="M92" s="269"/>
      <c r="N92" s="269">
        <f t="shared" ref="N92:N94" si="55">ROUND(O92*1.12,2)</f>
        <v>11.45</v>
      </c>
      <c r="O92" s="270">
        <f>P92*0.7</f>
        <v>10.219999999999999</v>
      </c>
      <c r="P92" s="271">
        <v>14.6</v>
      </c>
      <c r="Q92" s="272" t="s">
        <v>2113</v>
      </c>
      <c r="R92" s="272" t="s">
        <v>1944</v>
      </c>
      <c r="S92" s="269"/>
      <c r="T92" s="269"/>
      <c r="U92" s="269"/>
      <c r="V92" s="269"/>
      <c r="W92" s="269"/>
      <c r="X92" s="219"/>
      <c r="Y92" s="273">
        <v>6.22</v>
      </c>
      <c r="Z92" s="274">
        <f t="shared" ref="Z92:Z102" si="56">AC92*1.15</f>
        <v>10.275480000000002</v>
      </c>
      <c r="AC92" s="270">
        <f>AD92*0.68</f>
        <v>8.9352000000000018</v>
      </c>
      <c r="AD92" s="270">
        <v>13.14</v>
      </c>
      <c r="AE92" s="272" t="s">
        <v>2113</v>
      </c>
      <c r="AF92" s="319" t="s">
        <v>1944</v>
      </c>
      <c r="AN92" s="210">
        <f t="shared" si="49"/>
        <v>11.241999999999999</v>
      </c>
      <c r="AO92" s="210">
        <f t="shared" si="50"/>
        <v>449.67999999999995</v>
      </c>
    </row>
    <row r="93" spans="2:41" ht="25.5">
      <c r="B93" s="264" t="s">
        <v>403</v>
      </c>
      <c r="C93" s="265" t="s">
        <v>2111</v>
      </c>
      <c r="D93" s="266" t="s">
        <v>2114</v>
      </c>
      <c r="E93" s="266">
        <v>100</v>
      </c>
      <c r="F93" s="265" t="s">
        <v>708</v>
      </c>
      <c r="G93" s="266">
        <v>40</v>
      </c>
      <c r="H93" s="267">
        <f t="shared" si="43"/>
        <v>6.27</v>
      </c>
      <c r="I93" s="267">
        <f t="shared" si="51"/>
        <v>250.79999999999998</v>
      </c>
      <c r="J93" s="267">
        <f t="shared" si="52"/>
        <v>57.683999999999997</v>
      </c>
      <c r="K93" s="268">
        <v>0.23</v>
      </c>
      <c r="L93" s="267">
        <f t="shared" si="53"/>
        <v>308.48399999999998</v>
      </c>
      <c r="M93" s="269"/>
      <c r="N93" s="269">
        <f t="shared" si="55"/>
        <v>6.27</v>
      </c>
      <c r="O93" s="270">
        <f t="shared" ref="O93:O94" si="57">P93*0.7</f>
        <v>5.6</v>
      </c>
      <c r="P93" s="271">
        <v>8</v>
      </c>
      <c r="Q93" s="272" t="s">
        <v>2115</v>
      </c>
      <c r="R93" s="272" t="s">
        <v>1944</v>
      </c>
      <c r="S93" s="269"/>
      <c r="T93" s="269"/>
      <c r="U93" s="269"/>
      <c r="V93" s="269"/>
      <c r="W93" s="269"/>
      <c r="X93" s="219"/>
      <c r="Y93" s="273">
        <v>6.68</v>
      </c>
      <c r="Z93" s="274">
        <f t="shared" si="56"/>
        <v>5.4740000000000002</v>
      </c>
      <c r="AC93" s="270">
        <f t="shared" ref="AC93:AC99" si="58">AD93*0.68</f>
        <v>4.7600000000000007</v>
      </c>
      <c r="AD93" s="270">
        <v>7</v>
      </c>
      <c r="AE93" s="272" t="s">
        <v>2115</v>
      </c>
      <c r="AF93" s="319" t="s">
        <v>1944</v>
      </c>
      <c r="AN93" s="210">
        <f t="shared" si="49"/>
        <v>6.16</v>
      </c>
      <c r="AO93" s="210">
        <f t="shared" si="50"/>
        <v>246.4</v>
      </c>
    </row>
    <row r="94" spans="2:41" ht="25.5">
      <c r="B94" s="264" t="s">
        <v>405</v>
      </c>
      <c r="C94" s="265" t="s">
        <v>2111</v>
      </c>
      <c r="D94" s="266" t="s">
        <v>2116</v>
      </c>
      <c r="E94" s="266">
        <v>250</v>
      </c>
      <c r="F94" s="265" t="s">
        <v>708</v>
      </c>
      <c r="G94" s="266">
        <v>40</v>
      </c>
      <c r="H94" s="267">
        <f t="shared" si="43"/>
        <v>7.45</v>
      </c>
      <c r="I94" s="267">
        <f t="shared" si="51"/>
        <v>298</v>
      </c>
      <c r="J94" s="267">
        <f t="shared" si="52"/>
        <v>68.54000000000002</v>
      </c>
      <c r="K94" s="268">
        <v>0.23</v>
      </c>
      <c r="L94" s="267">
        <f t="shared" si="53"/>
        <v>366.54</v>
      </c>
      <c r="M94" s="269"/>
      <c r="N94" s="269">
        <f t="shared" si="55"/>
        <v>7.45</v>
      </c>
      <c r="O94" s="270">
        <f t="shared" si="57"/>
        <v>6.6499999999999995</v>
      </c>
      <c r="P94" s="271">
        <v>9.5</v>
      </c>
      <c r="Q94" s="272" t="s">
        <v>2117</v>
      </c>
      <c r="R94" s="272" t="s">
        <v>1944</v>
      </c>
      <c r="S94" s="269"/>
      <c r="T94" s="269"/>
      <c r="U94" s="269"/>
      <c r="V94" s="269"/>
      <c r="W94" s="269"/>
      <c r="X94" s="219"/>
      <c r="Y94" s="273">
        <v>8.16</v>
      </c>
      <c r="Z94" s="274">
        <f t="shared" si="56"/>
        <v>6.2560000000000002</v>
      </c>
      <c r="AC94" s="270">
        <f t="shared" si="58"/>
        <v>5.44</v>
      </c>
      <c r="AD94" s="270">
        <v>8</v>
      </c>
      <c r="AE94" s="272" t="s">
        <v>2117</v>
      </c>
      <c r="AF94" s="319" t="s">
        <v>1944</v>
      </c>
      <c r="AN94" s="210">
        <f t="shared" si="49"/>
        <v>7.3150000000000004</v>
      </c>
      <c r="AO94" s="210">
        <f t="shared" si="50"/>
        <v>292.60000000000002</v>
      </c>
    </row>
    <row r="95" spans="2:41" ht="25.5">
      <c r="B95" s="264" t="s">
        <v>409</v>
      </c>
      <c r="C95" s="265" t="s">
        <v>2118</v>
      </c>
      <c r="D95" s="266" t="s">
        <v>2119</v>
      </c>
      <c r="E95" s="266">
        <v>250</v>
      </c>
      <c r="F95" s="265" t="s">
        <v>708</v>
      </c>
      <c r="G95" s="266">
        <v>10</v>
      </c>
      <c r="H95" s="267">
        <f t="shared" si="43"/>
        <v>10.19</v>
      </c>
      <c r="I95" s="267">
        <f t="shared" si="51"/>
        <v>101.89999999999999</v>
      </c>
      <c r="J95" s="267">
        <f t="shared" si="52"/>
        <v>23.436999999999998</v>
      </c>
      <c r="K95" s="268">
        <v>0.23</v>
      </c>
      <c r="L95" s="267">
        <f t="shared" si="53"/>
        <v>125.33699999999999</v>
      </c>
      <c r="M95" s="269"/>
      <c r="N95" s="269">
        <f>ROUND(O95*1.12,2)</f>
        <v>10.19</v>
      </c>
      <c r="O95" s="270">
        <f t="shared" si="48"/>
        <v>9.1</v>
      </c>
      <c r="P95" s="271">
        <v>14</v>
      </c>
      <c r="Q95" s="272" t="s">
        <v>2120</v>
      </c>
      <c r="R95" s="272" t="s">
        <v>1944</v>
      </c>
      <c r="S95" s="269"/>
      <c r="T95" s="269"/>
      <c r="U95" s="269"/>
      <c r="V95" s="269"/>
      <c r="W95" s="269"/>
      <c r="X95" s="219"/>
      <c r="Y95" s="273"/>
      <c r="Z95" s="274">
        <f t="shared" si="56"/>
        <v>10.948</v>
      </c>
      <c r="AC95" s="270">
        <f t="shared" si="58"/>
        <v>9.5200000000000014</v>
      </c>
      <c r="AD95" s="270">
        <v>14</v>
      </c>
      <c r="AE95" s="296" t="s">
        <v>2119</v>
      </c>
      <c r="AF95" s="319" t="s">
        <v>1944</v>
      </c>
      <c r="AN95" s="210">
        <f t="shared" si="49"/>
        <v>10.01</v>
      </c>
      <c r="AO95" s="210">
        <f t="shared" si="50"/>
        <v>100.1</v>
      </c>
    </row>
    <row r="96" spans="2:41" ht="25.5">
      <c r="B96" s="264" t="s">
        <v>412</v>
      </c>
      <c r="C96" s="265" t="s">
        <v>2118</v>
      </c>
      <c r="D96" s="266" t="s">
        <v>2121</v>
      </c>
      <c r="E96" s="266">
        <v>500</v>
      </c>
      <c r="F96" s="265" t="s">
        <v>708</v>
      </c>
      <c r="G96" s="266">
        <v>10</v>
      </c>
      <c r="H96" s="267">
        <f t="shared" si="43"/>
        <v>11.65</v>
      </c>
      <c r="I96" s="267">
        <f t="shared" si="51"/>
        <v>116.5</v>
      </c>
      <c r="J96" s="267">
        <f t="shared" si="52"/>
        <v>26.795000000000016</v>
      </c>
      <c r="K96" s="268">
        <v>0.23</v>
      </c>
      <c r="L96" s="267">
        <f t="shared" si="53"/>
        <v>143.29500000000002</v>
      </c>
      <c r="M96" s="269"/>
      <c r="N96" s="269">
        <f>ROUND(O96*1.12,2)</f>
        <v>11.65</v>
      </c>
      <c r="O96" s="270">
        <f t="shared" si="48"/>
        <v>10.4</v>
      </c>
      <c r="P96" s="271">
        <v>16</v>
      </c>
      <c r="Q96" s="272" t="s">
        <v>2122</v>
      </c>
      <c r="R96" s="272" t="s">
        <v>1944</v>
      </c>
      <c r="S96" s="269"/>
      <c r="T96" s="269"/>
      <c r="U96" s="269"/>
      <c r="V96" s="269"/>
      <c r="W96" s="269"/>
      <c r="X96" s="219"/>
      <c r="Y96" s="273"/>
      <c r="Z96" s="274">
        <f t="shared" si="56"/>
        <v>12.512</v>
      </c>
      <c r="AC96" s="270">
        <f t="shared" si="58"/>
        <v>10.88</v>
      </c>
      <c r="AD96" s="270">
        <v>16</v>
      </c>
      <c r="AE96" s="296" t="s">
        <v>2121</v>
      </c>
      <c r="AF96" s="319" t="s">
        <v>1944</v>
      </c>
      <c r="AN96" s="210">
        <f t="shared" si="49"/>
        <v>11.440000000000001</v>
      </c>
      <c r="AO96" s="210">
        <f t="shared" si="50"/>
        <v>114.4</v>
      </c>
    </row>
    <row r="97" spans="2:41" s="7" customFormat="1" ht="63.75">
      <c r="B97" s="264" t="s">
        <v>415</v>
      </c>
      <c r="C97" s="276" t="s">
        <v>2123</v>
      </c>
      <c r="D97" s="264">
        <v>412021952</v>
      </c>
      <c r="E97" s="264">
        <v>3000</v>
      </c>
      <c r="F97" s="276" t="s">
        <v>1624</v>
      </c>
      <c r="G97" s="264">
        <v>5</v>
      </c>
      <c r="H97" s="267">
        <v>70</v>
      </c>
      <c r="I97" s="267">
        <f t="shared" si="51"/>
        <v>350</v>
      </c>
      <c r="J97" s="267">
        <f t="shared" si="52"/>
        <v>80.5</v>
      </c>
      <c r="K97" s="268">
        <v>0.23</v>
      </c>
      <c r="L97" s="267">
        <f t="shared" si="53"/>
        <v>430.5</v>
      </c>
      <c r="M97" s="281"/>
      <c r="N97" s="269">
        <f>ROUND(O97*1.02,2)</f>
        <v>154.61000000000001</v>
      </c>
      <c r="O97" s="277">
        <f>P97*0.75</f>
        <v>151.58250000000001</v>
      </c>
      <c r="P97" s="278">
        <v>202.11</v>
      </c>
      <c r="Q97" s="280">
        <v>412021952</v>
      </c>
      <c r="R97" s="315" t="s">
        <v>1972</v>
      </c>
      <c r="S97" s="316" t="s">
        <v>2022</v>
      </c>
      <c r="T97" s="281"/>
      <c r="U97" s="281"/>
      <c r="V97" s="281"/>
      <c r="W97" s="281"/>
      <c r="X97" s="282"/>
      <c r="Y97" s="283"/>
      <c r="Z97" s="312">
        <f t="shared" si="56"/>
        <v>185.94120000000001</v>
      </c>
      <c r="AC97" s="277">
        <f>AD97*0.8</f>
        <v>161.68800000000002</v>
      </c>
      <c r="AD97" s="277">
        <v>202.11</v>
      </c>
      <c r="AE97" s="7">
        <v>412021952</v>
      </c>
      <c r="AF97" s="331" t="s">
        <v>2044</v>
      </c>
      <c r="AN97" s="210">
        <f t="shared" si="49"/>
        <v>166.74075000000002</v>
      </c>
      <c r="AO97" s="210">
        <f t="shared" si="50"/>
        <v>833.70375000000013</v>
      </c>
    </row>
    <row r="98" spans="2:41" ht="15.75">
      <c r="B98" s="264" t="s">
        <v>421</v>
      </c>
      <c r="C98" s="265" t="s">
        <v>2124</v>
      </c>
      <c r="D98" s="266" t="s">
        <v>2125</v>
      </c>
      <c r="E98" s="266" t="s">
        <v>2018</v>
      </c>
      <c r="F98" s="265" t="s">
        <v>708</v>
      </c>
      <c r="G98" s="266">
        <v>20</v>
      </c>
      <c r="H98" s="267">
        <f>N98*1</f>
        <v>5.66</v>
      </c>
      <c r="I98" s="267">
        <f t="shared" si="51"/>
        <v>113.2</v>
      </c>
      <c r="J98" s="267">
        <f t="shared" si="52"/>
        <v>26.035999999999987</v>
      </c>
      <c r="K98" s="268">
        <v>0.23</v>
      </c>
      <c r="L98" s="267">
        <f t="shared" si="53"/>
        <v>139.23599999999999</v>
      </c>
      <c r="M98" s="269"/>
      <c r="N98" s="269">
        <f>ROUND(O98*1.13,2)</f>
        <v>5.66</v>
      </c>
      <c r="O98" s="270">
        <f>P98*0.65</f>
        <v>5.0049999999999999</v>
      </c>
      <c r="P98" s="271">
        <v>7.7</v>
      </c>
      <c r="Q98" s="272" t="s">
        <v>2126</v>
      </c>
      <c r="R98" s="272" t="s">
        <v>1944</v>
      </c>
      <c r="S98" s="269"/>
      <c r="T98" s="269"/>
      <c r="U98" s="269"/>
      <c r="V98" s="269"/>
      <c r="W98" s="269"/>
      <c r="X98" s="219"/>
      <c r="Y98" s="273"/>
      <c r="Z98" s="274">
        <f t="shared" si="56"/>
        <v>6.0213999999999999</v>
      </c>
      <c r="AC98" s="270">
        <f t="shared" si="58"/>
        <v>5.2360000000000007</v>
      </c>
      <c r="AD98" s="270">
        <v>7.7</v>
      </c>
      <c r="AE98" s="296" t="s">
        <v>2125</v>
      </c>
      <c r="AF98" s="319" t="s">
        <v>1944</v>
      </c>
      <c r="AN98" s="210">
        <f t="shared" si="49"/>
        <v>5.5055000000000005</v>
      </c>
      <c r="AO98" s="210">
        <f t="shared" si="50"/>
        <v>110.11000000000001</v>
      </c>
    </row>
    <row r="99" spans="2:41" ht="15.75">
      <c r="B99" s="264" t="s">
        <v>425</v>
      </c>
      <c r="C99" s="265" t="s">
        <v>2127</v>
      </c>
      <c r="D99" s="266" t="s">
        <v>2128</v>
      </c>
      <c r="E99" s="266" t="s">
        <v>2129</v>
      </c>
      <c r="F99" s="265" t="s">
        <v>708</v>
      </c>
      <c r="G99" s="266">
        <v>20</v>
      </c>
      <c r="H99" s="267">
        <f t="shared" ref="H99:H112" si="59">N99*1</f>
        <v>3.38</v>
      </c>
      <c r="I99" s="267">
        <f t="shared" si="51"/>
        <v>67.599999999999994</v>
      </c>
      <c r="J99" s="267">
        <f t="shared" si="52"/>
        <v>15.548000000000002</v>
      </c>
      <c r="K99" s="268">
        <v>0.23</v>
      </c>
      <c r="L99" s="267">
        <f t="shared" si="53"/>
        <v>83.147999999999996</v>
      </c>
      <c r="M99" s="269"/>
      <c r="N99" s="269">
        <f t="shared" ref="N99:N104" si="60">ROUND(O99*1.13,2)</f>
        <v>3.38</v>
      </c>
      <c r="O99" s="270">
        <f t="shared" ref="O99:O105" si="61">P99*0.65</f>
        <v>2.9899999999999998</v>
      </c>
      <c r="P99" s="271">
        <v>4.5999999999999996</v>
      </c>
      <c r="Q99" s="272" t="s">
        <v>2130</v>
      </c>
      <c r="R99" s="272" t="s">
        <v>1944</v>
      </c>
      <c r="S99" s="269"/>
      <c r="T99" s="269"/>
      <c r="U99" s="269"/>
      <c r="V99" s="269"/>
      <c r="W99" s="269"/>
      <c r="X99" s="219"/>
      <c r="Y99" s="273"/>
      <c r="Z99" s="274">
        <f t="shared" si="56"/>
        <v>3.5972</v>
      </c>
      <c r="AC99" s="270">
        <f t="shared" si="58"/>
        <v>3.1280000000000001</v>
      </c>
      <c r="AD99" s="270">
        <v>4.5999999999999996</v>
      </c>
      <c r="AE99" s="296" t="s">
        <v>2128</v>
      </c>
      <c r="AF99" s="319" t="s">
        <v>1944</v>
      </c>
      <c r="AN99" s="210">
        <f t="shared" si="49"/>
        <v>3.2890000000000001</v>
      </c>
      <c r="AO99" s="210">
        <f t="shared" si="50"/>
        <v>65.78</v>
      </c>
    </row>
    <row r="100" spans="2:41" ht="15.75">
      <c r="B100" s="264" t="s">
        <v>431</v>
      </c>
      <c r="C100" s="265" t="s">
        <v>2131</v>
      </c>
      <c r="D100" s="266" t="s">
        <v>2132</v>
      </c>
      <c r="E100" s="266">
        <v>60</v>
      </c>
      <c r="F100" s="265" t="s">
        <v>708</v>
      </c>
      <c r="G100" s="266">
        <v>40</v>
      </c>
      <c r="H100" s="267">
        <f t="shared" si="59"/>
        <v>5.73</v>
      </c>
      <c r="I100" s="267">
        <f t="shared" si="51"/>
        <v>229.20000000000002</v>
      </c>
      <c r="J100" s="267">
        <f t="shared" si="52"/>
        <v>52.716000000000037</v>
      </c>
      <c r="K100" s="268">
        <v>0.23</v>
      </c>
      <c r="L100" s="267">
        <f t="shared" si="53"/>
        <v>281.91600000000005</v>
      </c>
      <c r="M100" s="269"/>
      <c r="N100" s="269">
        <f t="shared" si="60"/>
        <v>5.73</v>
      </c>
      <c r="O100" s="270">
        <f t="shared" si="61"/>
        <v>5.07</v>
      </c>
      <c r="P100" s="271">
        <v>7.8</v>
      </c>
      <c r="Q100" s="272" t="s">
        <v>2133</v>
      </c>
      <c r="R100" s="272" t="s">
        <v>1944</v>
      </c>
      <c r="S100" s="269"/>
      <c r="T100" s="269"/>
      <c r="U100" s="269"/>
      <c r="V100" s="269"/>
      <c r="W100" s="269"/>
      <c r="X100" s="219"/>
      <c r="Y100" s="273">
        <v>2.25</v>
      </c>
      <c r="Z100" s="274">
        <f t="shared" si="56"/>
        <v>5.6510999999999996</v>
      </c>
      <c r="AC100" s="270">
        <f>AD100*0.63</f>
        <v>4.9139999999999997</v>
      </c>
      <c r="AD100" s="270">
        <v>7.8</v>
      </c>
      <c r="AE100" s="272" t="s">
        <v>2133</v>
      </c>
      <c r="AF100" s="319" t="s">
        <v>1944</v>
      </c>
      <c r="AN100" s="210">
        <f t="shared" si="49"/>
        <v>5.5770000000000008</v>
      </c>
      <c r="AO100" s="210">
        <f t="shared" si="50"/>
        <v>223.08000000000004</v>
      </c>
    </row>
    <row r="101" spans="2:41" ht="15.75">
      <c r="B101" s="264" t="s">
        <v>436</v>
      </c>
      <c r="C101" s="265" t="s">
        <v>2131</v>
      </c>
      <c r="D101" s="266" t="s">
        <v>2134</v>
      </c>
      <c r="E101" s="266">
        <v>150</v>
      </c>
      <c r="F101" s="265" t="s">
        <v>708</v>
      </c>
      <c r="G101" s="266">
        <v>40</v>
      </c>
      <c r="H101" s="267">
        <f t="shared" si="59"/>
        <v>8.23</v>
      </c>
      <c r="I101" s="267">
        <f t="shared" si="51"/>
        <v>329.20000000000005</v>
      </c>
      <c r="J101" s="267">
        <f t="shared" si="52"/>
        <v>75.716000000000008</v>
      </c>
      <c r="K101" s="268">
        <v>0.23</v>
      </c>
      <c r="L101" s="267">
        <f t="shared" si="53"/>
        <v>404.91600000000005</v>
      </c>
      <c r="M101" s="269"/>
      <c r="N101" s="269">
        <f t="shared" si="60"/>
        <v>8.23</v>
      </c>
      <c r="O101" s="270">
        <f t="shared" si="61"/>
        <v>7.2799999999999994</v>
      </c>
      <c r="P101" s="271">
        <v>11.2</v>
      </c>
      <c r="Q101" s="272" t="s">
        <v>2135</v>
      </c>
      <c r="R101" s="272" t="s">
        <v>1944</v>
      </c>
      <c r="S101" s="269"/>
      <c r="T101" s="269"/>
      <c r="U101" s="269"/>
      <c r="V101" s="269"/>
      <c r="W101" s="269"/>
      <c r="X101" s="219"/>
      <c r="Y101" s="273">
        <v>2.16</v>
      </c>
      <c r="Z101" s="274">
        <f t="shared" si="56"/>
        <v>6.0858000000000008</v>
      </c>
      <c r="AC101" s="270">
        <f t="shared" ref="AC101:AC112" si="62">AD101*0.63</f>
        <v>5.2920000000000007</v>
      </c>
      <c r="AD101" s="270">
        <v>8.4</v>
      </c>
      <c r="AE101" s="272" t="s">
        <v>2136</v>
      </c>
      <c r="AF101" s="319" t="s">
        <v>1944</v>
      </c>
      <c r="AN101" s="210">
        <f t="shared" si="49"/>
        <v>8.0079999999999991</v>
      </c>
      <c r="AO101" s="210">
        <f t="shared" si="50"/>
        <v>320.31999999999994</v>
      </c>
    </row>
    <row r="102" spans="2:41" ht="15.75">
      <c r="B102" s="264" t="s">
        <v>438</v>
      </c>
      <c r="C102" s="265" t="s">
        <v>2131</v>
      </c>
      <c r="D102" s="266" t="s">
        <v>2137</v>
      </c>
      <c r="E102" s="266">
        <v>300</v>
      </c>
      <c r="F102" s="265" t="s">
        <v>708</v>
      </c>
      <c r="G102" s="266">
        <v>40</v>
      </c>
      <c r="H102" s="267">
        <f t="shared" si="59"/>
        <v>8.59</v>
      </c>
      <c r="I102" s="267">
        <f t="shared" si="51"/>
        <v>343.6</v>
      </c>
      <c r="J102" s="267">
        <f t="shared" si="52"/>
        <v>79.02800000000002</v>
      </c>
      <c r="K102" s="268">
        <v>0.23</v>
      </c>
      <c r="L102" s="267">
        <f t="shared" si="53"/>
        <v>422.62800000000004</v>
      </c>
      <c r="M102" s="269"/>
      <c r="N102" s="269">
        <f t="shared" si="60"/>
        <v>8.59</v>
      </c>
      <c r="O102" s="270">
        <f t="shared" si="61"/>
        <v>7.6049999999999995</v>
      </c>
      <c r="P102" s="271">
        <v>11.7</v>
      </c>
      <c r="Q102" s="272" t="s">
        <v>2138</v>
      </c>
      <c r="R102" s="272" t="s">
        <v>1944</v>
      </c>
      <c r="S102" s="269"/>
      <c r="T102" s="269"/>
      <c r="U102" s="269"/>
      <c r="V102" s="269"/>
      <c r="W102" s="269"/>
      <c r="X102" s="219"/>
      <c r="Y102" s="273">
        <v>4.08</v>
      </c>
      <c r="Z102" s="274">
        <f t="shared" si="56"/>
        <v>6.3031499999999996</v>
      </c>
      <c r="AC102" s="270">
        <f t="shared" si="62"/>
        <v>5.4809999999999999</v>
      </c>
      <c r="AD102" s="270">
        <v>8.6999999999999993</v>
      </c>
      <c r="AE102" s="272" t="s">
        <v>2138</v>
      </c>
      <c r="AF102" s="319" t="s">
        <v>1944</v>
      </c>
      <c r="AN102" s="210">
        <f t="shared" si="49"/>
        <v>8.3655000000000008</v>
      </c>
      <c r="AO102" s="210">
        <f t="shared" si="50"/>
        <v>334.62</v>
      </c>
    </row>
    <row r="103" spans="2:41" ht="15.75">
      <c r="B103" s="264" t="s">
        <v>442</v>
      </c>
      <c r="C103" s="265" t="s">
        <v>2131</v>
      </c>
      <c r="D103" s="266" t="s">
        <v>2139</v>
      </c>
      <c r="E103" s="266">
        <v>500</v>
      </c>
      <c r="F103" s="265" t="s">
        <v>708</v>
      </c>
      <c r="G103" s="266">
        <v>40</v>
      </c>
      <c r="H103" s="267">
        <f t="shared" si="59"/>
        <v>10.65</v>
      </c>
      <c r="I103" s="267">
        <f t="shared" si="51"/>
        <v>426</v>
      </c>
      <c r="J103" s="267">
        <f t="shared" si="52"/>
        <v>97.980000000000018</v>
      </c>
      <c r="K103" s="268">
        <v>0.23</v>
      </c>
      <c r="L103" s="267">
        <f t="shared" si="53"/>
        <v>523.98</v>
      </c>
      <c r="M103" s="269"/>
      <c r="N103" s="269">
        <f t="shared" si="60"/>
        <v>10.65</v>
      </c>
      <c r="O103" s="270">
        <f t="shared" si="61"/>
        <v>9.4250000000000007</v>
      </c>
      <c r="P103" s="271">
        <v>14.5</v>
      </c>
      <c r="Q103" s="272" t="s">
        <v>2140</v>
      </c>
      <c r="R103" s="272" t="s">
        <v>1944</v>
      </c>
      <c r="S103" s="269"/>
      <c r="T103" s="269"/>
      <c r="U103" s="269"/>
      <c r="V103" s="269"/>
      <c r="W103" s="269"/>
      <c r="X103" s="219"/>
      <c r="Y103" s="297">
        <v>5.2</v>
      </c>
      <c r="Z103" s="298">
        <f>AC103*1.15</f>
        <v>9.7807499999999994</v>
      </c>
      <c r="AA103" s="299"/>
      <c r="AB103" s="300"/>
      <c r="AC103" s="301">
        <f t="shared" si="62"/>
        <v>8.5050000000000008</v>
      </c>
      <c r="AD103" s="301">
        <v>13.5</v>
      </c>
      <c r="AE103" s="302" t="s">
        <v>2140</v>
      </c>
      <c r="AF103" s="302" t="s">
        <v>1944</v>
      </c>
      <c r="AN103" s="210">
        <f t="shared" si="49"/>
        <v>10.367500000000001</v>
      </c>
      <c r="AO103" s="210">
        <f t="shared" si="50"/>
        <v>414.70000000000005</v>
      </c>
    </row>
    <row r="104" spans="2:41" ht="15.75">
      <c r="B104" s="264" t="s">
        <v>444</v>
      </c>
      <c r="C104" s="265" t="s">
        <v>2131</v>
      </c>
      <c r="D104" s="266" t="s">
        <v>2141</v>
      </c>
      <c r="E104" s="266">
        <v>900</v>
      </c>
      <c r="F104" s="265" t="s">
        <v>708</v>
      </c>
      <c r="G104" s="266">
        <v>20</v>
      </c>
      <c r="H104" s="267">
        <f t="shared" si="59"/>
        <v>13.22</v>
      </c>
      <c r="I104" s="267">
        <f t="shared" si="51"/>
        <v>264.40000000000003</v>
      </c>
      <c r="J104" s="267">
        <f t="shared" si="52"/>
        <v>60.812000000000012</v>
      </c>
      <c r="K104" s="268">
        <v>0.23</v>
      </c>
      <c r="L104" s="267">
        <f t="shared" si="53"/>
        <v>325.21200000000005</v>
      </c>
      <c r="M104" s="269"/>
      <c r="N104" s="269">
        <f t="shared" si="60"/>
        <v>13.22</v>
      </c>
      <c r="O104" s="270">
        <f t="shared" si="61"/>
        <v>11.700000000000001</v>
      </c>
      <c r="P104" s="271">
        <v>18</v>
      </c>
      <c r="Q104" s="272" t="s">
        <v>2142</v>
      </c>
      <c r="R104" s="272" t="s">
        <v>1944</v>
      </c>
      <c r="S104" s="269"/>
      <c r="T104" s="269"/>
      <c r="U104" s="269"/>
      <c r="V104" s="269"/>
      <c r="W104" s="269"/>
      <c r="X104" s="219"/>
      <c r="Y104" s="337">
        <v>8.0500000000000007</v>
      </c>
      <c r="Z104" s="274">
        <f>AC104*1.15</f>
        <v>11.736899999999999</v>
      </c>
      <c r="AC104" s="270">
        <f t="shared" si="62"/>
        <v>10.206</v>
      </c>
      <c r="AD104" s="270">
        <v>16.2</v>
      </c>
      <c r="AE104" s="272" t="s">
        <v>2142</v>
      </c>
      <c r="AF104" s="319" t="s">
        <v>1944</v>
      </c>
      <c r="AN104" s="210">
        <f t="shared" si="49"/>
        <v>12.870000000000003</v>
      </c>
      <c r="AO104" s="210">
        <f t="shared" si="50"/>
        <v>257.40000000000003</v>
      </c>
    </row>
    <row r="105" spans="2:41" ht="15.75">
      <c r="B105" s="264" t="s">
        <v>449</v>
      </c>
      <c r="C105" s="265" t="s">
        <v>2131</v>
      </c>
      <c r="D105" s="266" t="s">
        <v>2143</v>
      </c>
      <c r="E105" s="266">
        <v>2000</v>
      </c>
      <c r="F105" s="265" t="s">
        <v>708</v>
      </c>
      <c r="G105" s="266">
        <v>10</v>
      </c>
      <c r="H105" s="267">
        <f t="shared" si="59"/>
        <v>20.02</v>
      </c>
      <c r="I105" s="267">
        <f t="shared" si="51"/>
        <v>200.2</v>
      </c>
      <c r="J105" s="267">
        <f t="shared" si="52"/>
        <v>46.045999999999992</v>
      </c>
      <c r="K105" s="268">
        <v>0.23</v>
      </c>
      <c r="L105" s="267">
        <f t="shared" si="53"/>
        <v>246.24599999999998</v>
      </c>
      <c r="M105" s="269"/>
      <c r="N105" s="269">
        <f>ROUND(O105*1.1,2)</f>
        <v>20.02</v>
      </c>
      <c r="O105" s="270">
        <f t="shared" si="61"/>
        <v>18.2</v>
      </c>
      <c r="P105" s="271">
        <v>28</v>
      </c>
      <c r="Q105" s="272" t="s">
        <v>2144</v>
      </c>
      <c r="R105" s="272" t="s">
        <v>1944</v>
      </c>
      <c r="S105" s="269"/>
      <c r="T105" s="269"/>
      <c r="U105" s="269"/>
      <c r="V105" s="269"/>
      <c r="W105" s="269"/>
      <c r="X105" s="219"/>
      <c r="Y105" s="337">
        <v>12.58</v>
      </c>
      <c r="Z105" s="274">
        <f t="shared" ref="Z105:Z120" si="63">AC105*1.15</f>
        <v>18.836999999999996</v>
      </c>
      <c r="AC105" s="270">
        <f t="shared" si="62"/>
        <v>16.38</v>
      </c>
      <c r="AD105" s="270">
        <v>26</v>
      </c>
      <c r="AE105" s="272" t="s">
        <v>2144</v>
      </c>
      <c r="AF105" s="319" t="s">
        <v>1944</v>
      </c>
      <c r="AN105" s="210">
        <f t="shared" si="49"/>
        <v>20.02</v>
      </c>
      <c r="AO105" s="210">
        <f t="shared" si="50"/>
        <v>200.2</v>
      </c>
    </row>
    <row r="106" spans="2:41" ht="25.5">
      <c r="B106" s="264" t="s">
        <v>453</v>
      </c>
      <c r="C106" s="265" t="s">
        <v>2145</v>
      </c>
      <c r="D106" s="266" t="s">
        <v>2146</v>
      </c>
      <c r="E106" s="338" t="s">
        <v>2147</v>
      </c>
      <c r="F106" s="265" t="s">
        <v>708</v>
      </c>
      <c r="G106" s="266">
        <v>40</v>
      </c>
      <c r="H106" s="267">
        <f t="shared" si="59"/>
        <v>3.67</v>
      </c>
      <c r="I106" s="267">
        <f t="shared" si="51"/>
        <v>146.80000000000001</v>
      </c>
      <c r="J106" s="267">
        <f t="shared" si="52"/>
        <v>33.76400000000001</v>
      </c>
      <c r="K106" s="268">
        <v>0.23</v>
      </c>
      <c r="L106" s="267">
        <f t="shared" si="53"/>
        <v>180.56400000000002</v>
      </c>
      <c r="M106" s="269"/>
      <c r="N106" s="269">
        <f>ROUND(O106*1.13,2)</f>
        <v>3.67</v>
      </c>
      <c r="O106" s="270">
        <f>P106*0.65</f>
        <v>3.25</v>
      </c>
      <c r="P106" s="271">
        <v>5</v>
      </c>
      <c r="Q106" s="272" t="s">
        <v>2148</v>
      </c>
      <c r="R106" s="272" t="s">
        <v>1944</v>
      </c>
      <c r="S106" s="269"/>
      <c r="T106" s="269"/>
      <c r="U106" s="269"/>
      <c r="V106" s="269"/>
      <c r="W106" s="269"/>
      <c r="X106" s="219"/>
      <c r="Y106" s="337">
        <v>4.17</v>
      </c>
      <c r="Z106" s="274">
        <f t="shared" si="63"/>
        <v>3.2602499999999996</v>
      </c>
      <c r="AC106" s="270">
        <f t="shared" si="62"/>
        <v>2.835</v>
      </c>
      <c r="AD106" s="270">
        <v>4.5</v>
      </c>
      <c r="AE106" s="272" t="s">
        <v>2148</v>
      </c>
      <c r="AF106" s="319" t="s">
        <v>1944</v>
      </c>
      <c r="AN106" s="210">
        <f t="shared" si="49"/>
        <v>3.5750000000000002</v>
      </c>
      <c r="AO106" s="210">
        <f t="shared" si="50"/>
        <v>143</v>
      </c>
    </row>
    <row r="107" spans="2:41" ht="25.5">
      <c r="B107" s="264" t="s">
        <v>458</v>
      </c>
      <c r="C107" s="265" t="s">
        <v>2149</v>
      </c>
      <c r="D107" s="266" t="s">
        <v>2150</v>
      </c>
      <c r="E107" s="338" t="s">
        <v>2147</v>
      </c>
      <c r="F107" s="265" t="s">
        <v>708</v>
      </c>
      <c r="G107" s="266">
        <v>40</v>
      </c>
      <c r="H107" s="267">
        <f t="shared" si="59"/>
        <v>1.98</v>
      </c>
      <c r="I107" s="267">
        <f t="shared" si="51"/>
        <v>79.2</v>
      </c>
      <c r="J107" s="267">
        <f t="shared" si="52"/>
        <v>18.215999999999994</v>
      </c>
      <c r="K107" s="268">
        <v>0.23</v>
      </c>
      <c r="L107" s="267">
        <f t="shared" si="53"/>
        <v>97.415999999999997</v>
      </c>
      <c r="M107" s="269"/>
      <c r="N107" s="269">
        <f t="shared" ref="N107:N112" si="64">ROUND(O107*1.13,2)</f>
        <v>1.98</v>
      </c>
      <c r="O107" s="270">
        <f t="shared" ref="O107:O112" si="65">P107*0.65</f>
        <v>1.7550000000000001</v>
      </c>
      <c r="P107" s="271">
        <v>2.7</v>
      </c>
      <c r="Q107" s="272" t="s">
        <v>2151</v>
      </c>
      <c r="R107" s="272" t="s">
        <v>1944</v>
      </c>
      <c r="S107" s="269"/>
      <c r="T107" s="269"/>
      <c r="U107" s="269"/>
      <c r="V107" s="269"/>
      <c r="W107" s="269"/>
      <c r="X107" s="219"/>
      <c r="Y107" s="337">
        <v>1.1100000000000001</v>
      </c>
      <c r="Z107" s="274">
        <f t="shared" si="63"/>
        <v>1.8112499999999998</v>
      </c>
      <c r="AC107" s="270">
        <f t="shared" si="62"/>
        <v>1.575</v>
      </c>
      <c r="AD107" s="270">
        <v>2.5</v>
      </c>
      <c r="AE107" s="272" t="s">
        <v>2151</v>
      </c>
      <c r="AF107" s="319" t="s">
        <v>1944</v>
      </c>
      <c r="AN107" s="210">
        <f t="shared" si="49"/>
        <v>1.9305000000000003</v>
      </c>
      <c r="AO107" s="210">
        <f t="shared" si="50"/>
        <v>77.220000000000013</v>
      </c>
    </row>
    <row r="108" spans="2:41" ht="25.5">
      <c r="B108" s="264" t="s">
        <v>462</v>
      </c>
      <c r="C108" s="265" t="s">
        <v>2152</v>
      </c>
      <c r="D108" s="266" t="s">
        <v>2153</v>
      </c>
      <c r="E108" s="338" t="s">
        <v>2147</v>
      </c>
      <c r="F108" s="265" t="s">
        <v>708</v>
      </c>
      <c r="G108" s="266">
        <v>40</v>
      </c>
      <c r="H108" s="267">
        <f t="shared" si="59"/>
        <v>2.83</v>
      </c>
      <c r="I108" s="267">
        <f t="shared" si="51"/>
        <v>113.2</v>
      </c>
      <c r="J108" s="267">
        <f t="shared" si="52"/>
        <v>26.035999999999987</v>
      </c>
      <c r="K108" s="268">
        <v>0.23</v>
      </c>
      <c r="L108" s="267">
        <f t="shared" si="53"/>
        <v>139.23599999999999</v>
      </c>
      <c r="M108" s="269"/>
      <c r="N108" s="269">
        <f t="shared" si="64"/>
        <v>2.83</v>
      </c>
      <c r="O108" s="270">
        <f t="shared" si="65"/>
        <v>2.5024999999999999</v>
      </c>
      <c r="P108" s="271">
        <v>3.85</v>
      </c>
      <c r="Q108" s="272" t="s">
        <v>2154</v>
      </c>
      <c r="R108" s="272" t="s">
        <v>1944</v>
      </c>
      <c r="S108" s="269"/>
      <c r="T108" s="269"/>
      <c r="U108" s="269"/>
      <c r="V108" s="269"/>
      <c r="W108" s="269"/>
      <c r="X108" s="219"/>
      <c r="Y108" s="337">
        <v>0.91</v>
      </c>
      <c r="Z108" s="274">
        <f t="shared" si="63"/>
        <v>2.6082000000000001</v>
      </c>
      <c r="AC108" s="270">
        <f t="shared" si="62"/>
        <v>2.2680000000000002</v>
      </c>
      <c r="AD108" s="270">
        <v>3.6</v>
      </c>
      <c r="AE108" s="272" t="s">
        <v>2154</v>
      </c>
      <c r="AF108" s="319" t="s">
        <v>1944</v>
      </c>
      <c r="AN108" s="210">
        <f t="shared" si="49"/>
        <v>2.7527500000000003</v>
      </c>
      <c r="AO108" s="210">
        <f t="shared" si="50"/>
        <v>110.11000000000001</v>
      </c>
    </row>
    <row r="109" spans="2:41" ht="25.5">
      <c r="B109" s="264" t="s">
        <v>466</v>
      </c>
      <c r="C109" s="265" t="s">
        <v>2155</v>
      </c>
      <c r="D109" s="266" t="s">
        <v>2156</v>
      </c>
      <c r="E109" s="338" t="s">
        <v>2147</v>
      </c>
      <c r="F109" s="265" t="s">
        <v>708</v>
      </c>
      <c r="G109" s="266">
        <v>40</v>
      </c>
      <c r="H109" s="267">
        <f t="shared" si="59"/>
        <v>3.23</v>
      </c>
      <c r="I109" s="267">
        <f t="shared" si="51"/>
        <v>129.19999999999999</v>
      </c>
      <c r="J109" s="267">
        <f t="shared" si="52"/>
        <v>29.716000000000008</v>
      </c>
      <c r="K109" s="268">
        <v>0.23</v>
      </c>
      <c r="L109" s="267">
        <f t="shared" si="53"/>
        <v>158.916</v>
      </c>
      <c r="M109" s="269"/>
      <c r="N109" s="269">
        <f t="shared" si="64"/>
        <v>3.23</v>
      </c>
      <c r="O109" s="270">
        <f t="shared" si="65"/>
        <v>2.8600000000000003</v>
      </c>
      <c r="P109" s="271">
        <v>4.4000000000000004</v>
      </c>
      <c r="Q109" s="272" t="s">
        <v>2157</v>
      </c>
      <c r="R109" s="272" t="s">
        <v>1944</v>
      </c>
      <c r="S109" s="269"/>
      <c r="T109" s="269"/>
      <c r="U109" s="269"/>
      <c r="V109" s="269"/>
      <c r="W109" s="269"/>
      <c r="X109" s="219"/>
      <c r="Y109" s="337">
        <v>1.72</v>
      </c>
      <c r="Z109" s="274">
        <f t="shared" si="63"/>
        <v>2.9704499999999996</v>
      </c>
      <c r="AC109" s="270">
        <f t="shared" si="62"/>
        <v>2.5829999999999997</v>
      </c>
      <c r="AD109" s="270">
        <v>4.0999999999999996</v>
      </c>
      <c r="AE109" s="272" t="s">
        <v>2157</v>
      </c>
      <c r="AF109" s="319" t="s">
        <v>1944</v>
      </c>
      <c r="AN109" s="210">
        <f t="shared" si="49"/>
        <v>3.1460000000000008</v>
      </c>
      <c r="AO109" s="210">
        <f t="shared" si="50"/>
        <v>125.84000000000003</v>
      </c>
    </row>
    <row r="110" spans="2:41" ht="25.5">
      <c r="B110" s="264" t="s">
        <v>470</v>
      </c>
      <c r="C110" s="265" t="s">
        <v>2158</v>
      </c>
      <c r="D110" s="266" t="s">
        <v>2159</v>
      </c>
      <c r="E110" s="338" t="s">
        <v>2147</v>
      </c>
      <c r="F110" s="265" t="s">
        <v>708</v>
      </c>
      <c r="G110" s="266">
        <v>20</v>
      </c>
      <c r="H110" s="267">
        <f t="shared" si="59"/>
        <v>6.61</v>
      </c>
      <c r="I110" s="267">
        <f t="shared" si="51"/>
        <v>132.20000000000002</v>
      </c>
      <c r="J110" s="267">
        <f t="shared" si="52"/>
        <v>30.406000000000006</v>
      </c>
      <c r="K110" s="268">
        <v>0.23</v>
      </c>
      <c r="L110" s="267">
        <f t="shared" si="53"/>
        <v>162.60600000000002</v>
      </c>
      <c r="M110" s="269"/>
      <c r="N110" s="269">
        <f t="shared" si="64"/>
        <v>6.61</v>
      </c>
      <c r="O110" s="270">
        <f t="shared" si="65"/>
        <v>5.8500000000000005</v>
      </c>
      <c r="P110" s="271">
        <v>9</v>
      </c>
      <c r="Q110" s="272" t="s">
        <v>2160</v>
      </c>
      <c r="R110" s="272" t="s">
        <v>1944</v>
      </c>
      <c r="S110" s="269"/>
      <c r="T110" s="269"/>
      <c r="U110" s="269"/>
      <c r="V110" s="269"/>
      <c r="W110" s="269"/>
      <c r="X110" s="219"/>
      <c r="Y110" s="337">
        <v>8.2799999999999994</v>
      </c>
      <c r="Z110" s="274">
        <f t="shared" si="63"/>
        <v>6.5204999999999993</v>
      </c>
      <c r="AC110" s="270">
        <f t="shared" si="62"/>
        <v>5.67</v>
      </c>
      <c r="AD110" s="270">
        <v>9</v>
      </c>
      <c r="AE110" s="272" t="s">
        <v>2160</v>
      </c>
      <c r="AF110" s="319" t="s">
        <v>1944</v>
      </c>
      <c r="AN110" s="210">
        <f t="shared" si="49"/>
        <v>6.4350000000000014</v>
      </c>
      <c r="AO110" s="210">
        <f t="shared" si="50"/>
        <v>128.70000000000002</v>
      </c>
    </row>
    <row r="111" spans="2:41" ht="25.5">
      <c r="B111" s="264" t="s">
        <v>474</v>
      </c>
      <c r="C111" s="265" t="s">
        <v>2161</v>
      </c>
      <c r="D111" s="266" t="s">
        <v>2162</v>
      </c>
      <c r="E111" s="338" t="s">
        <v>2147</v>
      </c>
      <c r="F111" s="265" t="s">
        <v>708</v>
      </c>
      <c r="G111" s="266">
        <v>10</v>
      </c>
      <c r="H111" s="267">
        <f t="shared" si="59"/>
        <v>10.65</v>
      </c>
      <c r="I111" s="267">
        <f t="shared" si="51"/>
        <v>106.5</v>
      </c>
      <c r="J111" s="267">
        <f t="shared" si="52"/>
        <v>24.495000000000005</v>
      </c>
      <c r="K111" s="268">
        <v>0.23</v>
      </c>
      <c r="L111" s="267">
        <f t="shared" si="53"/>
        <v>130.995</v>
      </c>
      <c r="M111" s="269"/>
      <c r="N111" s="269">
        <f t="shared" si="64"/>
        <v>10.65</v>
      </c>
      <c r="O111" s="270">
        <f t="shared" si="65"/>
        <v>9.4250000000000007</v>
      </c>
      <c r="P111" s="271">
        <v>14.5</v>
      </c>
      <c r="Q111" s="272" t="s">
        <v>2163</v>
      </c>
      <c r="R111" s="272" t="s">
        <v>1944</v>
      </c>
      <c r="S111" s="269"/>
      <c r="T111" s="269"/>
      <c r="U111" s="269"/>
      <c r="V111" s="269"/>
      <c r="W111" s="269"/>
      <c r="X111" s="219"/>
      <c r="Y111" s="337">
        <v>8.93</v>
      </c>
      <c r="Z111" s="274">
        <f t="shared" si="63"/>
        <v>10.505249999999998</v>
      </c>
      <c r="AC111" s="270">
        <f t="shared" si="62"/>
        <v>9.1349999999999998</v>
      </c>
      <c r="AD111" s="270">
        <v>14.5</v>
      </c>
      <c r="AE111" s="272" t="s">
        <v>2163</v>
      </c>
      <c r="AF111" s="319" t="s">
        <v>1944</v>
      </c>
      <c r="AN111" s="210">
        <f t="shared" si="49"/>
        <v>10.367500000000001</v>
      </c>
      <c r="AO111" s="210">
        <f t="shared" si="50"/>
        <v>103.67500000000001</v>
      </c>
    </row>
    <row r="112" spans="2:41" ht="15.75">
      <c r="B112" s="264" t="s">
        <v>479</v>
      </c>
      <c r="C112" s="265" t="s">
        <v>2164</v>
      </c>
      <c r="D112" s="266" t="s">
        <v>2165</v>
      </c>
      <c r="E112" s="338" t="s">
        <v>2147</v>
      </c>
      <c r="F112" s="265" t="s">
        <v>708</v>
      </c>
      <c r="G112" s="266">
        <v>20</v>
      </c>
      <c r="H112" s="267">
        <f t="shared" si="59"/>
        <v>5.88</v>
      </c>
      <c r="I112" s="267">
        <f t="shared" si="51"/>
        <v>117.6</v>
      </c>
      <c r="J112" s="267">
        <f t="shared" si="52"/>
        <v>27.048000000000002</v>
      </c>
      <c r="K112" s="268">
        <v>0.23</v>
      </c>
      <c r="L112" s="267">
        <f t="shared" si="53"/>
        <v>144.648</v>
      </c>
      <c r="M112" s="269"/>
      <c r="N112" s="269">
        <f t="shared" si="64"/>
        <v>5.88</v>
      </c>
      <c r="O112" s="270">
        <f t="shared" si="65"/>
        <v>5.2</v>
      </c>
      <c r="P112" s="271">
        <v>8</v>
      </c>
      <c r="Q112" s="272" t="s">
        <v>2166</v>
      </c>
      <c r="R112" s="272" t="s">
        <v>1944</v>
      </c>
      <c r="S112" s="269"/>
      <c r="T112" s="269"/>
      <c r="U112" s="269"/>
      <c r="V112" s="269"/>
      <c r="W112" s="269"/>
      <c r="X112" s="219"/>
      <c r="Y112" s="337">
        <v>1.72</v>
      </c>
      <c r="Z112" s="274">
        <f t="shared" si="63"/>
        <v>5.7959999999999994</v>
      </c>
      <c r="AC112" s="270">
        <f t="shared" si="62"/>
        <v>5.04</v>
      </c>
      <c r="AD112" s="270">
        <v>8</v>
      </c>
      <c r="AE112" s="339" t="s">
        <v>2166</v>
      </c>
      <c r="AF112" s="319" t="s">
        <v>1944</v>
      </c>
      <c r="AN112" s="210">
        <f t="shared" si="49"/>
        <v>5.7200000000000006</v>
      </c>
      <c r="AO112" s="210">
        <f t="shared" si="50"/>
        <v>114.4</v>
      </c>
    </row>
    <row r="113" spans="2:41" s="7" customFormat="1" ht="63.75">
      <c r="B113" s="264" t="s">
        <v>482</v>
      </c>
      <c r="C113" s="276" t="s">
        <v>2167</v>
      </c>
      <c r="D113" s="264" t="s">
        <v>2168</v>
      </c>
      <c r="E113" s="264">
        <v>300</v>
      </c>
      <c r="F113" s="276" t="s">
        <v>1624</v>
      </c>
      <c r="G113" s="264">
        <v>4</v>
      </c>
      <c r="H113" s="267">
        <v>70</v>
      </c>
      <c r="I113" s="267">
        <f t="shared" si="51"/>
        <v>280</v>
      </c>
      <c r="J113" s="267">
        <f t="shared" si="52"/>
        <v>64.399999999999977</v>
      </c>
      <c r="K113" s="268">
        <v>0.23</v>
      </c>
      <c r="L113" s="267">
        <f t="shared" si="53"/>
        <v>344.4</v>
      </c>
      <c r="M113" s="281"/>
      <c r="N113" s="269">
        <f t="shared" ref="N113:N132" si="66">ROUND(O113*1.17,2)</f>
        <v>70.2</v>
      </c>
      <c r="O113" s="277">
        <v>60</v>
      </c>
      <c r="P113" s="278"/>
      <c r="Q113" s="280" t="s">
        <v>2169</v>
      </c>
      <c r="R113" s="315" t="s">
        <v>2170</v>
      </c>
      <c r="S113" s="316" t="s">
        <v>2022</v>
      </c>
      <c r="T113" s="281"/>
      <c r="U113" s="281"/>
      <c r="V113" s="281"/>
      <c r="W113" s="281"/>
      <c r="X113" s="282"/>
      <c r="Y113" s="340"/>
      <c r="Z113" s="312">
        <f t="shared" si="63"/>
        <v>69</v>
      </c>
      <c r="AC113" s="277">
        <v>60</v>
      </c>
      <c r="AD113" s="277">
        <v>60</v>
      </c>
      <c r="AE113" s="341" t="s">
        <v>2169</v>
      </c>
      <c r="AF113" s="331" t="s">
        <v>2171</v>
      </c>
      <c r="AN113" s="210">
        <f t="shared" si="49"/>
        <v>66</v>
      </c>
      <c r="AO113" s="210">
        <f t="shared" si="50"/>
        <v>264</v>
      </c>
    </row>
    <row r="114" spans="2:41" s="7" customFormat="1" ht="63.75">
      <c r="B114" s="264" t="s">
        <v>486</v>
      </c>
      <c r="C114" s="276" t="s">
        <v>2172</v>
      </c>
      <c r="D114" s="264" t="s">
        <v>2168</v>
      </c>
      <c r="E114" s="264">
        <v>1000</v>
      </c>
      <c r="F114" s="276" t="s">
        <v>708</v>
      </c>
      <c r="G114" s="264">
        <v>4</v>
      </c>
      <c r="H114" s="267">
        <v>170</v>
      </c>
      <c r="I114" s="267">
        <f t="shared" si="51"/>
        <v>680</v>
      </c>
      <c r="J114" s="267">
        <f t="shared" si="52"/>
        <v>156.39999999999998</v>
      </c>
      <c r="K114" s="268">
        <v>0.23</v>
      </c>
      <c r="L114" s="267">
        <f t="shared" si="53"/>
        <v>836.4</v>
      </c>
      <c r="M114" s="281"/>
      <c r="N114" s="269">
        <f t="shared" si="66"/>
        <v>187.2</v>
      </c>
      <c r="O114" s="277">
        <f>P114*0.8</f>
        <v>160</v>
      </c>
      <c r="P114" s="278">
        <v>200</v>
      </c>
      <c r="Q114" s="280" t="s">
        <v>2173</v>
      </c>
      <c r="R114" s="315" t="s">
        <v>2170</v>
      </c>
      <c r="S114" s="316" t="s">
        <v>2022</v>
      </c>
      <c r="T114" s="281"/>
      <c r="U114" s="281"/>
      <c r="V114" s="281"/>
      <c r="W114" s="281"/>
      <c r="X114" s="282"/>
      <c r="Y114" s="340">
        <v>575</v>
      </c>
      <c r="Z114" s="312">
        <f>AC114*1</f>
        <v>160</v>
      </c>
      <c r="AC114" s="278">
        <v>160</v>
      </c>
      <c r="AD114" s="277"/>
      <c r="AE114" s="342" t="s">
        <v>2174</v>
      </c>
      <c r="AF114" s="331" t="s">
        <v>2175</v>
      </c>
      <c r="AN114" s="210">
        <f t="shared" si="49"/>
        <v>176</v>
      </c>
      <c r="AO114" s="210">
        <f t="shared" si="50"/>
        <v>704</v>
      </c>
    </row>
    <row r="115" spans="2:41" s="353" customFormat="1" ht="25.5">
      <c r="B115" s="266" t="s">
        <v>490</v>
      </c>
      <c r="C115" s="265" t="s">
        <v>2176</v>
      </c>
      <c r="D115" s="266">
        <v>432440044</v>
      </c>
      <c r="E115" s="266">
        <v>1000</v>
      </c>
      <c r="F115" s="265" t="s">
        <v>708</v>
      </c>
      <c r="G115" s="266">
        <v>6</v>
      </c>
      <c r="H115" s="325">
        <v>135</v>
      </c>
      <c r="I115" s="325">
        <f t="shared" si="51"/>
        <v>810</v>
      </c>
      <c r="J115" s="325">
        <f t="shared" si="52"/>
        <v>186.29999999999995</v>
      </c>
      <c r="K115" s="326">
        <v>0.23</v>
      </c>
      <c r="L115" s="325">
        <f t="shared" si="53"/>
        <v>996.3</v>
      </c>
      <c r="M115" s="343"/>
      <c r="N115" s="343">
        <f t="shared" si="66"/>
        <v>156.72</v>
      </c>
      <c r="O115" s="344">
        <v>133.94999999999999</v>
      </c>
      <c r="P115" s="332">
        <v>198.03</v>
      </c>
      <c r="Q115" s="345">
        <v>432440044</v>
      </c>
      <c r="R115" s="346" t="s">
        <v>1972</v>
      </c>
      <c r="S115" s="347" t="s">
        <v>2022</v>
      </c>
      <c r="T115" s="348" t="s">
        <v>1979</v>
      </c>
      <c r="U115" s="349" t="s">
        <v>2177</v>
      </c>
      <c r="V115" s="350">
        <v>85</v>
      </c>
      <c r="W115" s="351">
        <v>0.35</v>
      </c>
      <c r="X115" s="219">
        <f>V115-V115*W115</f>
        <v>55.25</v>
      </c>
      <c r="Y115" s="352"/>
      <c r="Z115" s="274">
        <f>AC115*1.15</f>
        <v>182.1876</v>
      </c>
      <c r="AC115" s="332">
        <f>AD115*0.8</f>
        <v>158.42400000000001</v>
      </c>
      <c r="AD115" s="344">
        <v>198.03</v>
      </c>
      <c r="AE115" s="348">
        <v>432440044</v>
      </c>
      <c r="AF115" s="354" t="s">
        <v>2044</v>
      </c>
      <c r="AN115" s="355">
        <f t="shared" si="49"/>
        <v>147.345</v>
      </c>
      <c r="AO115" s="355">
        <f t="shared" si="50"/>
        <v>884.06999999999994</v>
      </c>
    </row>
    <row r="116" spans="2:41" ht="25.5">
      <c r="B116" s="264" t="s">
        <v>493</v>
      </c>
      <c r="C116" s="265" t="s">
        <v>2178</v>
      </c>
      <c r="D116" s="266" t="s">
        <v>2179</v>
      </c>
      <c r="E116" s="338" t="s">
        <v>2147</v>
      </c>
      <c r="F116" s="265" t="s">
        <v>708</v>
      </c>
      <c r="G116" s="266">
        <v>30</v>
      </c>
      <c r="H116" s="267">
        <f>N116*1</f>
        <v>4.1100000000000003</v>
      </c>
      <c r="I116" s="267">
        <f t="shared" si="51"/>
        <v>123.30000000000001</v>
      </c>
      <c r="J116" s="267">
        <f t="shared" si="52"/>
        <v>28.359000000000009</v>
      </c>
      <c r="K116" s="268">
        <v>0.23</v>
      </c>
      <c r="L116" s="267">
        <f t="shared" si="53"/>
        <v>151.65900000000002</v>
      </c>
      <c r="M116" s="269"/>
      <c r="N116" s="269">
        <f>ROUND(O116*1.15,2)</f>
        <v>4.1100000000000003</v>
      </c>
      <c r="O116" s="270">
        <f>P116*0.65</f>
        <v>3.5750000000000002</v>
      </c>
      <c r="P116" s="271">
        <v>5.5</v>
      </c>
      <c r="Q116" s="272" t="s">
        <v>2180</v>
      </c>
      <c r="R116" s="272" t="s">
        <v>1944</v>
      </c>
      <c r="S116" s="269"/>
      <c r="T116" s="269"/>
      <c r="U116" s="269"/>
      <c r="V116" s="269"/>
      <c r="W116" s="269"/>
      <c r="X116" s="219"/>
      <c r="Y116" s="337">
        <v>1.73</v>
      </c>
      <c r="Z116" s="274">
        <f t="shared" si="63"/>
        <v>3.9847499999999996</v>
      </c>
      <c r="AC116" s="270">
        <f>AD116*0.63</f>
        <v>3.4649999999999999</v>
      </c>
      <c r="AD116" s="270">
        <v>5.5</v>
      </c>
      <c r="AE116" s="323" t="s">
        <v>2180</v>
      </c>
      <c r="AF116" s="319" t="s">
        <v>1944</v>
      </c>
      <c r="AN116" s="210">
        <f t="shared" si="49"/>
        <v>3.9325000000000006</v>
      </c>
      <c r="AO116" s="210">
        <f t="shared" si="50"/>
        <v>117.97500000000002</v>
      </c>
    </row>
    <row r="117" spans="2:41" ht="25.5">
      <c r="B117" s="264" t="s">
        <v>494</v>
      </c>
      <c r="C117" s="265" t="s">
        <v>2181</v>
      </c>
      <c r="D117" s="266" t="s">
        <v>2182</v>
      </c>
      <c r="E117" s="338" t="s">
        <v>2147</v>
      </c>
      <c r="F117" s="265" t="s">
        <v>708</v>
      </c>
      <c r="G117" s="266">
        <v>30</v>
      </c>
      <c r="H117" s="267">
        <f t="shared" ref="H117:H119" si="67">N117*1</f>
        <v>5.01</v>
      </c>
      <c r="I117" s="267">
        <f t="shared" si="51"/>
        <v>150.29999999999998</v>
      </c>
      <c r="J117" s="267">
        <f t="shared" si="52"/>
        <v>34.568999999999988</v>
      </c>
      <c r="K117" s="268">
        <v>0.23</v>
      </c>
      <c r="L117" s="267">
        <f t="shared" si="53"/>
        <v>184.86899999999997</v>
      </c>
      <c r="M117" s="269"/>
      <c r="N117" s="269">
        <f t="shared" ref="N117:N119" si="68">ROUND(O117*1.15,2)</f>
        <v>5.01</v>
      </c>
      <c r="O117" s="270">
        <f t="shared" ref="O117:O119" si="69">P117*0.65</f>
        <v>4.3550000000000004</v>
      </c>
      <c r="P117" s="271">
        <v>6.7</v>
      </c>
      <c r="Q117" s="272" t="s">
        <v>2183</v>
      </c>
      <c r="R117" s="272" t="s">
        <v>1944</v>
      </c>
      <c r="S117" s="269"/>
      <c r="T117" s="269"/>
      <c r="U117" s="269"/>
      <c r="V117" s="269"/>
      <c r="W117" s="269"/>
      <c r="X117" s="219"/>
      <c r="Y117" s="337">
        <v>2.13</v>
      </c>
      <c r="Z117" s="274">
        <f t="shared" si="63"/>
        <v>4.8541499999999997</v>
      </c>
      <c r="AC117" s="270">
        <f t="shared" ref="AC117:AC119" si="70">AD117*0.63</f>
        <v>4.2210000000000001</v>
      </c>
      <c r="AD117" s="270">
        <v>6.7</v>
      </c>
      <c r="AE117" s="272" t="s">
        <v>2183</v>
      </c>
      <c r="AF117" s="319" t="s">
        <v>1944</v>
      </c>
      <c r="AN117" s="210">
        <f t="shared" si="49"/>
        <v>4.7905000000000006</v>
      </c>
      <c r="AO117" s="210">
        <f t="shared" si="50"/>
        <v>143.71500000000003</v>
      </c>
    </row>
    <row r="118" spans="2:41" ht="25.5">
      <c r="B118" s="264" t="s">
        <v>498</v>
      </c>
      <c r="C118" s="265" t="s">
        <v>2184</v>
      </c>
      <c r="D118" s="266" t="s">
        <v>2185</v>
      </c>
      <c r="E118" s="338" t="s">
        <v>2147</v>
      </c>
      <c r="F118" s="265" t="s">
        <v>708</v>
      </c>
      <c r="G118" s="266">
        <v>30</v>
      </c>
      <c r="H118" s="267">
        <f t="shared" si="67"/>
        <v>6.13</v>
      </c>
      <c r="I118" s="267">
        <f t="shared" si="51"/>
        <v>183.9</v>
      </c>
      <c r="J118" s="267">
        <f t="shared" si="52"/>
        <v>42.296999999999997</v>
      </c>
      <c r="K118" s="268">
        <v>0.23</v>
      </c>
      <c r="L118" s="267">
        <f t="shared" si="53"/>
        <v>226.197</v>
      </c>
      <c r="M118" s="269"/>
      <c r="N118" s="269">
        <f t="shared" si="68"/>
        <v>6.13</v>
      </c>
      <c r="O118" s="270">
        <f t="shared" si="69"/>
        <v>5.33</v>
      </c>
      <c r="P118" s="271">
        <v>8.1999999999999993</v>
      </c>
      <c r="Q118" s="272" t="s">
        <v>2186</v>
      </c>
      <c r="R118" s="272" t="s">
        <v>1944</v>
      </c>
      <c r="S118" s="269"/>
      <c r="T118" s="269"/>
      <c r="U118" s="269"/>
      <c r="V118" s="269"/>
      <c r="W118" s="269"/>
      <c r="X118" s="219"/>
      <c r="Y118" s="337">
        <v>2.57</v>
      </c>
      <c r="Z118" s="274">
        <f t="shared" si="63"/>
        <v>5.9408999999999992</v>
      </c>
      <c r="AC118" s="270">
        <f t="shared" si="70"/>
        <v>5.1659999999999995</v>
      </c>
      <c r="AD118" s="270">
        <v>8.1999999999999993</v>
      </c>
      <c r="AE118" s="272" t="s">
        <v>2186</v>
      </c>
      <c r="AF118" s="319" t="s">
        <v>1944</v>
      </c>
      <c r="AN118" s="210">
        <f t="shared" si="49"/>
        <v>5.8630000000000004</v>
      </c>
      <c r="AO118" s="210">
        <f t="shared" si="50"/>
        <v>175.89000000000001</v>
      </c>
    </row>
    <row r="119" spans="2:41" ht="25.5">
      <c r="B119" s="264" t="s">
        <v>500</v>
      </c>
      <c r="C119" s="265" t="s">
        <v>2187</v>
      </c>
      <c r="D119" s="266" t="s">
        <v>2188</v>
      </c>
      <c r="E119" s="338" t="s">
        <v>2147</v>
      </c>
      <c r="F119" s="265" t="s">
        <v>708</v>
      </c>
      <c r="G119" s="266">
        <v>30</v>
      </c>
      <c r="H119" s="267">
        <f t="shared" si="67"/>
        <v>7.48</v>
      </c>
      <c r="I119" s="267">
        <f t="shared" si="51"/>
        <v>224.4</v>
      </c>
      <c r="J119" s="267">
        <f t="shared" si="52"/>
        <v>51.611999999999995</v>
      </c>
      <c r="K119" s="268">
        <v>0.23</v>
      </c>
      <c r="L119" s="267">
        <f t="shared" si="53"/>
        <v>276.012</v>
      </c>
      <c r="M119" s="269"/>
      <c r="N119" s="269">
        <f t="shared" si="68"/>
        <v>7.48</v>
      </c>
      <c r="O119" s="270">
        <f t="shared" si="69"/>
        <v>6.5</v>
      </c>
      <c r="P119" s="271">
        <v>10</v>
      </c>
      <c r="Q119" s="272" t="s">
        <v>2189</v>
      </c>
      <c r="R119" s="272" t="s">
        <v>1944</v>
      </c>
      <c r="S119" s="269"/>
      <c r="T119" s="269"/>
      <c r="U119" s="269"/>
      <c r="V119" s="269"/>
      <c r="W119" s="269"/>
      <c r="X119" s="219"/>
      <c r="Y119" s="337">
        <v>8.74</v>
      </c>
      <c r="Z119" s="274">
        <f t="shared" si="63"/>
        <v>7.2449999999999992</v>
      </c>
      <c r="AC119" s="270">
        <f t="shared" si="70"/>
        <v>6.3</v>
      </c>
      <c r="AD119" s="270">
        <v>10</v>
      </c>
      <c r="AE119" s="272" t="s">
        <v>2189</v>
      </c>
      <c r="AF119" s="319" t="s">
        <v>1944</v>
      </c>
      <c r="AN119" s="210">
        <f t="shared" si="49"/>
        <v>7.15</v>
      </c>
      <c r="AO119" s="210">
        <f t="shared" si="50"/>
        <v>214.5</v>
      </c>
    </row>
    <row r="120" spans="2:41" s="57" customFormat="1" ht="45">
      <c r="B120" s="264" t="s">
        <v>504</v>
      </c>
      <c r="C120" s="356" t="s">
        <v>2190</v>
      </c>
      <c r="D120" s="357" t="s">
        <v>2147</v>
      </c>
      <c r="E120" s="358">
        <v>2</v>
      </c>
      <c r="F120" s="356" t="s">
        <v>708</v>
      </c>
      <c r="G120" s="358">
        <v>3</v>
      </c>
      <c r="H120" s="294">
        <v>73</v>
      </c>
      <c r="I120" s="294">
        <f t="shared" si="51"/>
        <v>219</v>
      </c>
      <c r="J120" s="294">
        <f t="shared" si="52"/>
        <v>50.370000000000005</v>
      </c>
      <c r="K120" s="359">
        <v>0.23</v>
      </c>
      <c r="L120" s="294">
        <f t="shared" si="53"/>
        <v>269.37</v>
      </c>
      <c r="M120" s="360"/>
      <c r="N120" s="269">
        <f t="shared" si="66"/>
        <v>148.91999999999999</v>
      </c>
      <c r="O120" s="333">
        <f>P120*4.3*0.8</f>
        <v>127.28</v>
      </c>
      <c r="P120" s="333">
        <v>37</v>
      </c>
      <c r="Q120" s="361" t="s">
        <v>2191</v>
      </c>
      <c r="R120" s="361" t="s">
        <v>2192</v>
      </c>
      <c r="S120" s="360" t="s">
        <v>2193</v>
      </c>
      <c r="T120" s="360">
        <f>ROUND(U120*1.2,2)</f>
        <v>70.8</v>
      </c>
      <c r="U120" s="360">
        <v>59</v>
      </c>
      <c r="V120" s="360"/>
      <c r="W120" s="360"/>
      <c r="X120" s="362"/>
      <c r="Y120" s="363">
        <v>54.01</v>
      </c>
      <c r="Z120" s="364">
        <f t="shared" si="63"/>
        <v>122.63600000000001</v>
      </c>
      <c r="AC120" s="365">
        <f>AD120*0.8</f>
        <v>106.64000000000001</v>
      </c>
      <c r="AD120" s="366">
        <v>133.30000000000001</v>
      </c>
      <c r="AE120" s="367" t="s">
        <v>2194</v>
      </c>
      <c r="AF120" s="368" t="s">
        <v>2192</v>
      </c>
      <c r="AH120" s="369" t="s">
        <v>2195</v>
      </c>
      <c r="AN120" s="210">
        <f t="shared" si="49"/>
        <v>140.00800000000001</v>
      </c>
      <c r="AO120" s="210">
        <f t="shared" si="50"/>
        <v>420.024</v>
      </c>
    </row>
    <row r="121" spans="2:41" s="57" customFormat="1" ht="45">
      <c r="B121" s="264" t="s">
        <v>508</v>
      </c>
      <c r="C121" s="356" t="s">
        <v>2196</v>
      </c>
      <c r="D121" s="357" t="s">
        <v>2147</v>
      </c>
      <c r="E121" s="358">
        <v>2</v>
      </c>
      <c r="F121" s="356" t="s">
        <v>708</v>
      </c>
      <c r="G121" s="358">
        <v>3</v>
      </c>
      <c r="H121" s="294">
        <v>88.75</v>
      </c>
      <c r="I121" s="294">
        <f t="shared" si="51"/>
        <v>266.25</v>
      </c>
      <c r="J121" s="294">
        <f t="shared" si="52"/>
        <v>61.237500000000011</v>
      </c>
      <c r="K121" s="359">
        <v>0.23</v>
      </c>
      <c r="L121" s="294">
        <f t="shared" si="53"/>
        <v>327.48750000000001</v>
      </c>
      <c r="M121" s="360"/>
      <c r="N121" s="269">
        <f t="shared" si="66"/>
        <v>152.94</v>
      </c>
      <c r="O121" s="333">
        <f>P121*4.3*0.8</f>
        <v>130.72</v>
      </c>
      <c r="P121" s="333">
        <v>38</v>
      </c>
      <c r="Q121" s="361" t="s">
        <v>2197</v>
      </c>
      <c r="R121" s="361" t="s">
        <v>2192</v>
      </c>
      <c r="S121" s="360" t="s">
        <v>2198</v>
      </c>
      <c r="T121" s="360">
        <v>80</v>
      </c>
      <c r="U121" s="360">
        <v>71</v>
      </c>
      <c r="V121" s="360"/>
      <c r="W121" s="360"/>
      <c r="X121" s="362"/>
      <c r="Y121" s="370">
        <v>54.47</v>
      </c>
      <c r="Z121" s="371">
        <f>AC121*1.15</f>
        <v>122.63600000000001</v>
      </c>
      <c r="AA121" s="372"/>
      <c r="AB121" s="373"/>
      <c r="AC121" s="374">
        <f t="shared" ref="AC121" si="71">AD121*0.8</f>
        <v>106.64000000000001</v>
      </c>
      <c r="AD121" s="375">
        <v>133.30000000000001</v>
      </c>
      <c r="AE121" s="367" t="s">
        <v>2199</v>
      </c>
      <c r="AF121" s="376" t="s">
        <v>2192</v>
      </c>
      <c r="AG121" s="377"/>
      <c r="AH121" s="378" t="s">
        <v>2195</v>
      </c>
      <c r="AN121" s="210">
        <f t="shared" si="49"/>
        <v>143.792</v>
      </c>
      <c r="AO121" s="210">
        <f t="shared" si="50"/>
        <v>431.37599999999998</v>
      </c>
    </row>
    <row r="122" spans="2:41" s="57" customFormat="1" ht="25.5">
      <c r="B122" s="264" t="s">
        <v>512</v>
      </c>
      <c r="C122" s="356" t="s">
        <v>2200</v>
      </c>
      <c r="D122" s="358" t="s">
        <v>2201</v>
      </c>
      <c r="E122" s="358" t="s">
        <v>2202</v>
      </c>
      <c r="F122" s="356" t="s">
        <v>2203</v>
      </c>
      <c r="G122" s="358">
        <v>3</v>
      </c>
      <c r="H122" s="294">
        <f>N122*1</f>
        <v>43.47</v>
      </c>
      <c r="I122" s="294">
        <f t="shared" si="51"/>
        <v>130.41</v>
      </c>
      <c r="J122" s="294">
        <f t="shared" si="52"/>
        <v>29.99430000000001</v>
      </c>
      <c r="K122" s="359">
        <v>0.23</v>
      </c>
      <c r="L122" s="294">
        <f t="shared" si="53"/>
        <v>160.40430000000001</v>
      </c>
      <c r="M122" s="360"/>
      <c r="N122" s="269">
        <f>ROUND(O122*1.15,2)</f>
        <v>43.47</v>
      </c>
      <c r="O122" s="332">
        <v>37.799999999999997</v>
      </c>
      <c r="P122" s="333"/>
      <c r="Q122" s="7" t="s">
        <v>2204</v>
      </c>
      <c r="R122" s="361"/>
      <c r="S122" s="360"/>
      <c r="T122" s="360"/>
      <c r="U122" s="360"/>
      <c r="V122" s="360"/>
      <c r="W122" s="360"/>
      <c r="X122" s="362"/>
      <c r="Y122" s="379"/>
      <c r="Z122" s="364"/>
      <c r="AA122" s="380"/>
      <c r="AB122" s="380"/>
      <c r="AC122" s="374"/>
      <c r="AD122" s="375"/>
      <c r="AE122" s="381"/>
      <c r="AF122" s="376"/>
      <c r="AG122" s="380"/>
      <c r="AH122" s="382"/>
      <c r="AN122" s="210">
        <f t="shared" si="49"/>
        <v>41.58</v>
      </c>
      <c r="AO122" s="210">
        <f t="shared" si="50"/>
        <v>124.74</v>
      </c>
    </row>
    <row r="123" spans="2:41" ht="25.5">
      <c r="B123" s="264" t="s">
        <v>515</v>
      </c>
      <c r="C123" s="265" t="s">
        <v>2205</v>
      </c>
      <c r="D123" s="266" t="s">
        <v>2206</v>
      </c>
      <c r="E123" s="266">
        <v>120</v>
      </c>
      <c r="F123" s="265" t="s">
        <v>708</v>
      </c>
      <c r="G123" s="266">
        <v>10</v>
      </c>
      <c r="H123" s="267">
        <f>N123*1</f>
        <v>15.06</v>
      </c>
      <c r="I123" s="267">
        <f t="shared" si="51"/>
        <v>150.6</v>
      </c>
      <c r="J123" s="267">
        <f t="shared" si="52"/>
        <v>34.638000000000005</v>
      </c>
      <c r="K123" s="268">
        <v>0.23</v>
      </c>
      <c r="L123" s="267">
        <f t="shared" si="53"/>
        <v>185.238</v>
      </c>
      <c r="M123" s="269"/>
      <c r="N123" s="269">
        <f>ROUND(O123*1.13,2)</f>
        <v>15.06</v>
      </c>
      <c r="O123" s="270">
        <f>P123*0.65</f>
        <v>13.325000000000001</v>
      </c>
      <c r="P123" s="271">
        <v>20.5</v>
      </c>
      <c r="Q123" s="272" t="s">
        <v>2207</v>
      </c>
      <c r="R123" s="272" t="s">
        <v>2208</v>
      </c>
      <c r="S123" s="296" t="s">
        <v>2209</v>
      </c>
      <c r="T123" s="269"/>
      <c r="U123" s="269"/>
      <c r="V123" s="269"/>
      <c r="W123" s="269"/>
      <c r="X123" s="219"/>
      <c r="Y123" s="337">
        <v>18.86</v>
      </c>
      <c r="Z123" s="274">
        <f>AC123*1.15</f>
        <v>14.85225</v>
      </c>
      <c r="AC123" s="270">
        <f>AD123*0.63</f>
        <v>12.915000000000001</v>
      </c>
      <c r="AD123" s="270">
        <v>20.5</v>
      </c>
      <c r="AE123" s="323" t="s">
        <v>2207</v>
      </c>
      <c r="AF123" s="319" t="s">
        <v>1944</v>
      </c>
      <c r="AN123" s="210">
        <f t="shared" si="49"/>
        <v>14.657500000000002</v>
      </c>
      <c r="AO123" s="210">
        <f t="shared" si="50"/>
        <v>146.57500000000002</v>
      </c>
    </row>
    <row r="124" spans="2:41" ht="25.5">
      <c r="B124" s="264" t="s">
        <v>519</v>
      </c>
      <c r="C124" s="265" t="s">
        <v>2210</v>
      </c>
      <c r="D124" s="266" t="s">
        <v>2211</v>
      </c>
      <c r="E124" s="266">
        <v>5</v>
      </c>
      <c r="F124" s="265" t="s">
        <v>708</v>
      </c>
      <c r="G124" s="266">
        <v>40</v>
      </c>
      <c r="H124" s="267">
        <f t="shared" ref="H124:H131" si="72">N124*1</f>
        <v>3.33</v>
      </c>
      <c r="I124" s="267">
        <f t="shared" si="51"/>
        <v>133.19999999999999</v>
      </c>
      <c r="J124" s="267">
        <f t="shared" si="52"/>
        <v>30.635999999999996</v>
      </c>
      <c r="K124" s="268">
        <v>0.23</v>
      </c>
      <c r="L124" s="267">
        <f t="shared" si="53"/>
        <v>163.83599999999998</v>
      </c>
      <c r="M124" s="269"/>
      <c r="N124" s="269">
        <f>ROUND(O124*1.14,2)</f>
        <v>3.33</v>
      </c>
      <c r="O124" s="270">
        <f t="shared" ref="O124:O138" si="73">P124*0.65</f>
        <v>2.9250000000000003</v>
      </c>
      <c r="P124" s="271">
        <v>4.5</v>
      </c>
      <c r="Q124" s="272" t="s">
        <v>2211</v>
      </c>
      <c r="R124" s="272" t="s">
        <v>2208</v>
      </c>
      <c r="S124" s="269"/>
      <c r="T124" s="269"/>
      <c r="U124" s="269"/>
      <c r="V124" s="269"/>
      <c r="W124" s="269"/>
      <c r="X124" s="219"/>
      <c r="Y124" s="337">
        <v>1.44</v>
      </c>
      <c r="Z124" s="274">
        <f t="shared" ref="Z124:Z136" si="74">AC124*1.15</f>
        <v>3.2602499999999996</v>
      </c>
      <c r="AC124" s="270">
        <f>AD124*0.63</f>
        <v>2.835</v>
      </c>
      <c r="AD124" s="270">
        <v>4.5</v>
      </c>
      <c r="AE124" s="275" t="s">
        <v>2206</v>
      </c>
      <c r="AF124" s="319" t="s">
        <v>1944</v>
      </c>
      <c r="AN124" s="210">
        <f t="shared" si="49"/>
        <v>3.2175000000000007</v>
      </c>
      <c r="AO124" s="210">
        <f t="shared" si="50"/>
        <v>128.70000000000002</v>
      </c>
    </row>
    <row r="125" spans="2:41" ht="25.5">
      <c r="B125" s="264" t="s">
        <v>522</v>
      </c>
      <c r="C125" s="265" t="s">
        <v>2210</v>
      </c>
      <c r="D125" s="266" t="s">
        <v>2212</v>
      </c>
      <c r="E125" s="266">
        <v>10</v>
      </c>
      <c r="F125" s="265" t="s">
        <v>708</v>
      </c>
      <c r="G125" s="266">
        <v>40</v>
      </c>
      <c r="H125" s="267">
        <f t="shared" si="72"/>
        <v>3.33</v>
      </c>
      <c r="I125" s="267">
        <f t="shared" si="51"/>
        <v>133.19999999999999</v>
      </c>
      <c r="J125" s="267">
        <f t="shared" si="52"/>
        <v>30.635999999999996</v>
      </c>
      <c r="K125" s="268">
        <v>0.23</v>
      </c>
      <c r="L125" s="267">
        <f t="shared" si="53"/>
        <v>163.83599999999998</v>
      </c>
      <c r="M125" s="269"/>
      <c r="N125" s="269">
        <f t="shared" ref="N125:N131" si="75">ROUND(O125*1.14,2)</f>
        <v>3.33</v>
      </c>
      <c r="O125" s="270">
        <f t="shared" si="73"/>
        <v>2.9250000000000003</v>
      </c>
      <c r="P125" s="271">
        <v>4.5</v>
      </c>
      <c r="Q125" s="272" t="s">
        <v>2212</v>
      </c>
      <c r="R125" s="272" t="s">
        <v>2208</v>
      </c>
      <c r="S125" s="269"/>
      <c r="T125" s="269"/>
      <c r="U125" s="269"/>
      <c r="V125" s="269"/>
      <c r="W125" s="269"/>
      <c r="X125" s="219"/>
      <c r="Y125" s="337">
        <v>1.69</v>
      </c>
      <c r="Z125" s="274">
        <f t="shared" si="74"/>
        <v>3.2602499999999996</v>
      </c>
      <c r="AC125" s="270">
        <f t="shared" ref="AC125:AC131" si="76">AD125*0.63</f>
        <v>2.835</v>
      </c>
      <c r="AD125" s="270">
        <v>4.5</v>
      </c>
      <c r="AE125" s="275" t="s">
        <v>2211</v>
      </c>
      <c r="AF125" s="319" t="s">
        <v>1944</v>
      </c>
      <c r="AN125" s="210">
        <f t="shared" si="49"/>
        <v>3.2175000000000007</v>
      </c>
      <c r="AO125" s="210">
        <f t="shared" si="50"/>
        <v>128.70000000000002</v>
      </c>
    </row>
    <row r="126" spans="2:41" ht="25.5">
      <c r="B126" s="264" t="s">
        <v>526</v>
      </c>
      <c r="C126" s="265" t="s">
        <v>2210</v>
      </c>
      <c r="D126" s="266" t="s">
        <v>2213</v>
      </c>
      <c r="E126" s="266">
        <v>25</v>
      </c>
      <c r="F126" s="265" t="s">
        <v>708</v>
      </c>
      <c r="G126" s="266">
        <v>40</v>
      </c>
      <c r="H126" s="267">
        <f t="shared" si="72"/>
        <v>4.45</v>
      </c>
      <c r="I126" s="267">
        <f t="shared" si="51"/>
        <v>178</v>
      </c>
      <c r="J126" s="267">
        <f t="shared" si="52"/>
        <v>40.94</v>
      </c>
      <c r="K126" s="268">
        <v>0.23</v>
      </c>
      <c r="L126" s="267">
        <f t="shared" si="53"/>
        <v>218.94</v>
      </c>
      <c r="M126" s="269"/>
      <c r="N126" s="269">
        <f t="shared" si="75"/>
        <v>4.45</v>
      </c>
      <c r="O126" s="270">
        <f t="shared" si="73"/>
        <v>3.9000000000000004</v>
      </c>
      <c r="P126" s="271">
        <v>6</v>
      </c>
      <c r="Q126" s="272" t="s">
        <v>2213</v>
      </c>
      <c r="R126" s="272" t="s">
        <v>2208</v>
      </c>
      <c r="S126" s="269"/>
      <c r="T126" s="269"/>
      <c r="U126" s="269"/>
      <c r="V126" s="269"/>
      <c r="W126" s="269"/>
      <c r="X126" s="219"/>
      <c r="Y126" s="337">
        <v>2.17</v>
      </c>
      <c r="Z126" s="274">
        <f t="shared" si="74"/>
        <v>4.3469999999999995</v>
      </c>
      <c r="AC126" s="270">
        <f t="shared" si="76"/>
        <v>3.7800000000000002</v>
      </c>
      <c r="AD126" s="270">
        <v>6</v>
      </c>
      <c r="AE126" s="275" t="s">
        <v>2212</v>
      </c>
      <c r="AF126" s="319" t="s">
        <v>1944</v>
      </c>
      <c r="AN126" s="210">
        <f t="shared" si="49"/>
        <v>4.2900000000000009</v>
      </c>
      <c r="AO126" s="210">
        <f t="shared" si="50"/>
        <v>171.60000000000002</v>
      </c>
    </row>
    <row r="127" spans="2:41" ht="25.5">
      <c r="B127" s="264" t="s">
        <v>530</v>
      </c>
      <c r="C127" s="265" t="s">
        <v>2214</v>
      </c>
      <c r="D127" s="266" t="s">
        <v>2215</v>
      </c>
      <c r="E127" s="266">
        <v>1</v>
      </c>
      <c r="F127" s="265" t="s">
        <v>708</v>
      </c>
      <c r="G127" s="266">
        <v>10</v>
      </c>
      <c r="H127" s="267">
        <f t="shared" si="72"/>
        <v>2.96</v>
      </c>
      <c r="I127" s="267">
        <f t="shared" si="51"/>
        <v>29.6</v>
      </c>
      <c r="J127" s="267">
        <f t="shared" si="52"/>
        <v>6.8079999999999998</v>
      </c>
      <c r="K127" s="268">
        <v>0.23</v>
      </c>
      <c r="L127" s="267">
        <f t="shared" si="53"/>
        <v>36.408000000000001</v>
      </c>
      <c r="M127" s="269"/>
      <c r="N127" s="269">
        <f t="shared" si="75"/>
        <v>2.96</v>
      </c>
      <c r="O127" s="270">
        <f t="shared" si="73"/>
        <v>2.6</v>
      </c>
      <c r="P127" s="271">
        <v>4</v>
      </c>
      <c r="Q127" s="272" t="s">
        <v>2215</v>
      </c>
      <c r="R127" s="272" t="s">
        <v>2208</v>
      </c>
      <c r="S127" s="269"/>
      <c r="T127" s="269"/>
      <c r="U127" s="269"/>
      <c r="V127" s="269"/>
      <c r="W127" s="269"/>
      <c r="X127" s="219"/>
      <c r="Y127" s="337">
        <v>1.63</v>
      </c>
      <c r="Z127" s="274">
        <f t="shared" si="74"/>
        <v>2.8979999999999997</v>
      </c>
      <c r="AC127" s="270">
        <f t="shared" si="76"/>
        <v>2.52</v>
      </c>
      <c r="AD127" s="270">
        <v>4</v>
      </c>
      <c r="AE127" s="275" t="s">
        <v>2213</v>
      </c>
      <c r="AF127" s="319" t="s">
        <v>1944</v>
      </c>
      <c r="AN127" s="210">
        <f t="shared" si="49"/>
        <v>2.8600000000000003</v>
      </c>
      <c r="AO127" s="210">
        <f t="shared" si="50"/>
        <v>28.6</v>
      </c>
    </row>
    <row r="128" spans="2:41" ht="25.5">
      <c r="B128" s="264" t="s">
        <v>533</v>
      </c>
      <c r="C128" s="265" t="s">
        <v>2214</v>
      </c>
      <c r="D128" s="266" t="s">
        <v>2216</v>
      </c>
      <c r="E128" s="266">
        <v>2</v>
      </c>
      <c r="F128" s="265" t="s">
        <v>708</v>
      </c>
      <c r="G128" s="266">
        <v>30</v>
      </c>
      <c r="H128" s="267">
        <f t="shared" si="72"/>
        <v>2.96</v>
      </c>
      <c r="I128" s="267">
        <f t="shared" si="51"/>
        <v>88.8</v>
      </c>
      <c r="J128" s="267">
        <f t="shared" si="52"/>
        <v>20.423999999999992</v>
      </c>
      <c r="K128" s="268">
        <v>0.23</v>
      </c>
      <c r="L128" s="267">
        <f t="shared" si="53"/>
        <v>109.22399999999999</v>
      </c>
      <c r="M128" s="269"/>
      <c r="N128" s="269">
        <f t="shared" si="75"/>
        <v>2.96</v>
      </c>
      <c r="O128" s="270">
        <f t="shared" si="73"/>
        <v>2.6</v>
      </c>
      <c r="P128" s="271">
        <v>4</v>
      </c>
      <c r="Q128" s="272" t="s">
        <v>2216</v>
      </c>
      <c r="R128" s="272" t="s">
        <v>2208</v>
      </c>
      <c r="S128" s="269"/>
      <c r="T128" s="269"/>
      <c r="U128" s="269"/>
      <c r="V128" s="269"/>
      <c r="W128" s="269"/>
      <c r="X128" s="219"/>
      <c r="Y128" s="337">
        <v>1.24</v>
      </c>
      <c r="Z128" s="274">
        <f t="shared" si="74"/>
        <v>2.8979999999999997</v>
      </c>
      <c r="AC128" s="270">
        <f t="shared" si="76"/>
        <v>2.52</v>
      </c>
      <c r="AD128" s="270">
        <v>4</v>
      </c>
      <c r="AE128" s="275" t="s">
        <v>2215</v>
      </c>
      <c r="AF128" s="319" t="s">
        <v>1944</v>
      </c>
      <c r="AN128" s="210">
        <f t="shared" si="49"/>
        <v>2.8600000000000003</v>
      </c>
      <c r="AO128" s="210">
        <f t="shared" si="50"/>
        <v>85.800000000000011</v>
      </c>
    </row>
    <row r="129" spans="2:41" ht="25.5">
      <c r="B129" s="264" t="s">
        <v>536</v>
      </c>
      <c r="C129" s="265" t="s">
        <v>2214</v>
      </c>
      <c r="D129" s="266" t="s">
        <v>2217</v>
      </c>
      <c r="E129" s="266">
        <v>5</v>
      </c>
      <c r="F129" s="265" t="s">
        <v>708</v>
      </c>
      <c r="G129" s="266">
        <v>40</v>
      </c>
      <c r="H129" s="267">
        <f t="shared" si="72"/>
        <v>2.96</v>
      </c>
      <c r="I129" s="267">
        <f t="shared" si="51"/>
        <v>118.4</v>
      </c>
      <c r="J129" s="267">
        <f t="shared" si="52"/>
        <v>27.231999999999999</v>
      </c>
      <c r="K129" s="268">
        <v>0.23</v>
      </c>
      <c r="L129" s="267">
        <f t="shared" si="53"/>
        <v>145.63200000000001</v>
      </c>
      <c r="M129" s="269"/>
      <c r="N129" s="269">
        <f t="shared" si="75"/>
        <v>2.96</v>
      </c>
      <c r="O129" s="270">
        <f t="shared" si="73"/>
        <v>2.6</v>
      </c>
      <c r="P129" s="271">
        <v>4</v>
      </c>
      <c r="Q129" s="272" t="s">
        <v>2217</v>
      </c>
      <c r="R129" s="272" t="s">
        <v>2208</v>
      </c>
      <c r="S129" s="269"/>
      <c r="T129" s="269"/>
      <c r="U129" s="269"/>
      <c r="V129" s="269"/>
      <c r="W129" s="269"/>
      <c r="X129" s="219"/>
      <c r="Y129" s="337">
        <v>1.42</v>
      </c>
      <c r="Z129" s="274">
        <f t="shared" si="74"/>
        <v>2.8979999999999997</v>
      </c>
      <c r="AC129" s="270">
        <f t="shared" si="76"/>
        <v>2.52</v>
      </c>
      <c r="AD129" s="270">
        <v>4</v>
      </c>
      <c r="AE129" s="275" t="s">
        <v>2216</v>
      </c>
      <c r="AF129" s="319" t="s">
        <v>1944</v>
      </c>
      <c r="AN129" s="210">
        <f t="shared" si="49"/>
        <v>2.8600000000000003</v>
      </c>
      <c r="AO129" s="210">
        <f t="shared" si="50"/>
        <v>114.4</v>
      </c>
    </row>
    <row r="130" spans="2:41" ht="25.5">
      <c r="B130" s="264" t="s">
        <v>540</v>
      </c>
      <c r="C130" s="265" t="s">
        <v>2214</v>
      </c>
      <c r="D130" s="266" t="s">
        <v>2218</v>
      </c>
      <c r="E130" s="266">
        <v>10</v>
      </c>
      <c r="F130" s="265" t="s">
        <v>708</v>
      </c>
      <c r="G130" s="266">
        <v>40</v>
      </c>
      <c r="H130" s="267">
        <f t="shared" si="72"/>
        <v>2.96</v>
      </c>
      <c r="I130" s="267">
        <f t="shared" si="51"/>
        <v>118.4</v>
      </c>
      <c r="J130" s="267">
        <f t="shared" si="52"/>
        <v>27.231999999999999</v>
      </c>
      <c r="K130" s="268">
        <v>0.23</v>
      </c>
      <c r="L130" s="267">
        <f t="shared" si="53"/>
        <v>145.63200000000001</v>
      </c>
      <c r="M130" s="269"/>
      <c r="N130" s="269">
        <f t="shared" si="75"/>
        <v>2.96</v>
      </c>
      <c r="O130" s="270">
        <f t="shared" si="73"/>
        <v>2.6</v>
      </c>
      <c r="P130" s="271">
        <v>4</v>
      </c>
      <c r="Q130" s="272" t="s">
        <v>2218</v>
      </c>
      <c r="R130" s="272" t="s">
        <v>2208</v>
      </c>
      <c r="S130" s="269"/>
      <c r="T130" s="269"/>
      <c r="U130" s="269"/>
      <c r="V130" s="269"/>
      <c r="W130" s="269"/>
      <c r="X130" s="219"/>
      <c r="Y130" s="337">
        <v>1.48</v>
      </c>
      <c r="Z130" s="274">
        <f t="shared" si="74"/>
        <v>2.8979999999999997</v>
      </c>
      <c r="AC130" s="270">
        <f t="shared" si="76"/>
        <v>2.52</v>
      </c>
      <c r="AD130" s="270">
        <v>4</v>
      </c>
      <c r="AE130" s="275" t="s">
        <v>2217</v>
      </c>
      <c r="AF130" s="319" t="s">
        <v>1944</v>
      </c>
      <c r="AN130" s="210">
        <f t="shared" si="49"/>
        <v>2.8600000000000003</v>
      </c>
      <c r="AO130" s="210">
        <f t="shared" si="50"/>
        <v>114.4</v>
      </c>
    </row>
    <row r="131" spans="2:41" ht="25.5">
      <c r="B131" s="264" t="s">
        <v>543</v>
      </c>
      <c r="C131" s="265" t="s">
        <v>2214</v>
      </c>
      <c r="D131" s="266" t="s">
        <v>2219</v>
      </c>
      <c r="E131" s="266">
        <v>25</v>
      </c>
      <c r="F131" s="265" t="s">
        <v>708</v>
      </c>
      <c r="G131" s="266">
        <v>40</v>
      </c>
      <c r="H131" s="267">
        <f t="shared" si="72"/>
        <v>4.3</v>
      </c>
      <c r="I131" s="267">
        <f t="shared" si="51"/>
        <v>172</v>
      </c>
      <c r="J131" s="267">
        <f t="shared" si="52"/>
        <v>39.56</v>
      </c>
      <c r="K131" s="268">
        <v>0.23</v>
      </c>
      <c r="L131" s="267">
        <f t="shared" si="53"/>
        <v>211.56</v>
      </c>
      <c r="M131" s="269"/>
      <c r="N131" s="269">
        <f t="shared" si="75"/>
        <v>4.3</v>
      </c>
      <c r="O131" s="270">
        <f t="shared" si="73"/>
        <v>3.77</v>
      </c>
      <c r="P131" s="271">
        <v>5.8</v>
      </c>
      <c r="Q131" s="272" t="s">
        <v>2219</v>
      </c>
      <c r="R131" s="272" t="s">
        <v>2208</v>
      </c>
      <c r="S131" s="269"/>
      <c r="T131" s="269"/>
      <c r="U131" s="269"/>
      <c r="V131" s="269"/>
      <c r="W131" s="269"/>
      <c r="X131" s="219"/>
      <c r="Y131" s="337">
        <v>2.1800000000000002</v>
      </c>
      <c r="Z131" s="274">
        <f t="shared" si="74"/>
        <v>4.2020999999999997</v>
      </c>
      <c r="AC131" s="270">
        <f t="shared" si="76"/>
        <v>3.6539999999999999</v>
      </c>
      <c r="AD131" s="270">
        <v>5.8</v>
      </c>
      <c r="AE131" s="275" t="s">
        <v>2218</v>
      </c>
      <c r="AF131" s="319" t="s">
        <v>1944</v>
      </c>
      <c r="AN131" s="210">
        <f t="shared" si="49"/>
        <v>4.1470000000000002</v>
      </c>
      <c r="AO131" s="210">
        <f t="shared" si="50"/>
        <v>165.88</v>
      </c>
    </row>
    <row r="132" spans="2:41" s="7" customFormat="1" ht="38.25">
      <c r="B132" s="264" t="s">
        <v>549</v>
      </c>
      <c r="C132" s="276" t="s">
        <v>2220</v>
      </c>
      <c r="D132" s="264">
        <v>4460003030</v>
      </c>
      <c r="E132" s="264">
        <v>30</v>
      </c>
      <c r="F132" s="276" t="s">
        <v>708</v>
      </c>
      <c r="G132" s="264">
        <v>10</v>
      </c>
      <c r="H132" s="267">
        <v>20</v>
      </c>
      <c r="I132" s="267">
        <f t="shared" si="51"/>
        <v>200</v>
      </c>
      <c r="J132" s="267">
        <f t="shared" si="52"/>
        <v>46</v>
      </c>
      <c r="K132" s="268">
        <v>0.23</v>
      </c>
      <c r="L132" s="267">
        <f t="shared" si="53"/>
        <v>246</v>
      </c>
      <c r="M132" s="281"/>
      <c r="N132" s="269">
        <f t="shared" si="66"/>
        <v>81.900000000000006</v>
      </c>
      <c r="O132" s="277">
        <v>70</v>
      </c>
      <c r="P132" s="278">
        <v>142.79</v>
      </c>
      <c r="Q132" s="280">
        <v>446003030</v>
      </c>
      <c r="R132" s="315" t="s">
        <v>1972</v>
      </c>
      <c r="S132" s="316" t="s">
        <v>2022</v>
      </c>
      <c r="T132" s="281"/>
      <c r="U132" s="281"/>
      <c r="V132" s="281"/>
      <c r="W132" s="281"/>
      <c r="X132" s="282"/>
      <c r="Y132" s="340">
        <v>132.68</v>
      </c>
      <c r="Z132" s="312">
        <f t="shared" si="74"/>
        <v>80.5</v>
      </c>
      <c r="AC132" s="277">
        <v>70</v>
      </c>
      <c r="AD132" s="277"/>
      <c r="AE132" s="309" t="s">
        <v>2219</v>
      </c>
      <c r="AF132" s="331" t="s">
        <v>1952</v>
      </c>
      <c r="AH132" s="383">
        <v>446003030</v>
      </c>
      <c r="AI132" s="384" t="s">
        <v>2221</v>
      </c>
      <c r="AJ132" s="385" t="s">
        <v>2222</v>
      </c>
      <c r="AN132" s="210">
        <f t="shared" si="49"/>
        <v>77</v>
      </c>
      <c r="AO132" s="210">
        <f t="shared" si="50"/>
        <v>770</v>
      </c>
    </row>
    <row r="133" spans="2:41" ht="15.75">
      <c r="B133" s="264" t="s">
        <v>553</v>
      </c>
      <c r="C133" s="265" t="s">
        <v>2223</v>
      </c>
      <c r="D133" s="338" t="s">
        <v>2147</v>
      </c>
      <c r="E133" s="338" t="s">
        <v>2147</v>
      </c>
      <c r="F133" s="265" t="s">
        <v>708</v>
      </c>
      <c r="G133" s="266">
        <v>300</v>
      </c>
      <c r="H133" s="267">
        <f>N133*1</f>
        <v>0.69</v>
      </c>
      <c r="I133" s="267">
        <f t="shared" si="51"/>
        <v>206.99999999999997</v>
      </c>
      <c r="J133" s="267">
        <f t="shared" si="52"/>
        <v>47.609999999999985</v>
      </c>
      <c r="K133" s="268">
        <v>0.23</v>
      </c>
      <c r="L133" s="267">
        <f t="shared" si="53"/>
        <v>254.60999999999996</v>
      </c>
      <c r="M133" s="269"/>
      <c r="N133" s="269">
        <f>ROUND(O133*1.25,2)</f>
        <v>0.69</v>
      </c>
      <c r="O133" s="270">
        <f t="shared" si="73"/>
        <v>0.55249999999999999</v>
      </c>
      <c r="P133" s="271">
        <v>0.85</v>
      </c>
      <c r="Q133" s="272" t="s">
        <v>2224</v>
      </c>
      <c r="R133" s="272" t="s">
        <v>1944</v>
      </c>
      <c r="S133" s="269"/>
      <c r="T133" s="269"/>
      <c r="U133" s="269"/>
      <c r="V133" s="269"/>
      <c r="W133" s="269"/>
      <c r="X133" s="219"/>
      <c r="Y133" s="337">
        <v>0.38</v>
      </c>
      <c r="Z133" s="274">
        <f t="shared" si="74"/>
        <v>0.61582499999999996</v>
      </c>
      <c r="AC133" s="270">
        <f>AD133*0.63</f>
        <v>0.53549999999999998</v>
      </c>
      <c r="AD133" s="270">
        <v>0.85</v>
      </c>
      <c r="AE133" s="323" t="s">
        <v>2224</v>
      </c>
      <c r="AF133" s="272" t="s">
        <v>1944</v>
      </c>
      <c r="AN133" s="210">
        <f t="shared" si="49"/>
        <v>0.60775000000000001</v>
      </c>
      <c r="AO133" s="210">
        <f t="shared" si="50"/>
        <v>182.32500000000002</v>
      </c>
    </row>
    <row r="134" spans="2:41" ht="15.75">
      <c r="B134" s="264" t="s">
        <v>558</v>
      </c>
      <c r="C134" s="265" t="s">
        <v>2225</v>
      </c>
      <c r="D134" s="338" t="s">
        <v>2147</v>
      </c>
      <c r="E134" s="338" t="s">
        <v>2147</v>
      </c>
      <c r="F134" s="265" t="s">
        <v>708</v>
      </c>
      <c r="G134" s="266">
        <v>300</v>
      </c>
      <c r="H134" s="267">
        <f t="shared" ref="H134:H138" si="77">N134*1</f>
        <v>0.69</v>
      </c>
      <c r="I134" s="267">
        <f t="shared" si="51"/>
        <v>206.99999999999997</v>
      </c>
      <c r="J134" s="267">
        <f t="shared" si="52"/>
        <v>47.609999999999985</v>
      </c>
      <c r="K134" s="268">
        <v>0.23</v>
      </c>
      <c r="L134" s="267">
        <f t="shared" si="53"/>
        <v>254.60999999999996</v>
      </c>
      <c r="M134" s="269"/>
      <c r="N134" s="269">
        <f>ROUND(O134*1.25,2)</f>
        <v>0.69</v>
      </c>
      <c r="O134" s="270">
        <f t="shared" si="73"/>
        <v>0.55249999999999999</v>
      </c>
      <c r="P134" s="271">
        <v>0.85</v>
      </c>
      <c r="Q134" s="272" t="s">
        <v>2226</v>
      </c>
      <c r="R134" s="272" t="s">
        <v>1944</v>
      </c>
      <c r="S134" s="269"/>
      <c r="T134" s="269"/>
      <c r="U134" s="269"/>
      <c r="V134" s="269"/>
      <c r="W134" s="269"/>
      <c r="X134" s="219"/>
      <c r="Y134" s="337">
        <v>0.38</v>
      </c>
      <c r="Z134" s="274">
        <f t="shared" si="74"/>
        <v>0.61582499999999996</v>
      </c>
      <c r="AC134" s="270">
        <f>AD134*0.63</f>
        <v>0.53549999999999998</v>
      </c>
      <c r="AD134" s="270">
        <v>0.85</v>
      </c>
      <c r="AE134" s="272" t="s">
        <v>2226</v>
      </c>
      <c r="AF134" s="272" t="s">
        <v>1944</v>
      </c>
      <c r="AN134" s="210">
        <f t="shared" si="49"/>
        <v>0.60775000000000001</v>
      </c>
      <c r="AO134" s="210">
        <f t="shared" si="50"/>
        <v>182.32500000000002</v>
      </c>
    </row>
    <row r="135" spans="2:41" ht="25.5">
      <c r="B135" s="264" t="s">
        <v>561</v>
      </c>
      <c r="C135" s="265" t="s">
        <v>2227</v>
      </c>
      <c r="D135" s="266" t="s">
        <v>2228</v>
      </c>
      <c r="E135" s="266"/>
      <c r="F135" s="265" t="s">
        <v>708</v>
      </c>
      <c r="G135" s="266">
        <v>2000</v>
      </c>
      <c r="H135" s="267">
        <f t="shared" si="77"/>
        <v>0.2</v>
      </c>
      <c r="I135" s="267">
        <f t="shared" si="51"/>
        <v>400</v>
      </c>
      <c r="J135" s="267">
        <f t="shared" si="52"/>
        <v>92</v>
      </c>
      <c r="K135" s="268">
        <v>0.23</v>
      </c>
      <c r="L135" s="267">
        <f t="shared" si="53"/>
        <v>492</v>
      </c>
      <c r="M135" s="269"/>
      <c r="N135" s="269">
        <f>ROUND(O135*1.2,2)</f>
        <v>0.2</v>
      </c>
      <c r="O135" s="270">
        <f t="shared" si="73"/>
        <v>0.16250000000000001</v>
      </c>
      <c r="P135" s="271">
        <v>0.25</v>
      </c>
      <c r="Q135" s="272" t="s">
        <v>2229</v>
      </c>
      <c r="R135" s="272" t="s">
        <v>1944</v>
      </c>
      <c r="S135" s="269"/>
      <c r="T135" s="269"/>
      <c r="U135" s="269"/>
      <c r="V135" s="269"/>
      <c r="W135" s="269"/>
      <c r="X135" s="219"/>
      <c r="Y135" s="337">
        <v>0.16</v>
      </c>
      <c r="Z135" s="274">
        <f t="shared" si="74"/>
        <v>0.18112499999999998</v>
      </c>
      <c r="AC135" s="270">
        <f t="shared" ref="AC135:AC138" si="78">AD135*0.63</f>
        <v>0.1575</v>
      </c>
      <c r="AD135" s="270">
        <v>0.25</v>
      </c>
      <c r="AE135" s="272" t="s">
        <v>2229</v>
      </c>
      <c r="AF135" s="272" t="s">
        <v>1944</v>
      </c>
      <c r="AN135" s="210">
        <f t="shared" si="49"/>
        <v>0.17875000000000002</v>
      </c>
      <c r="AO135" s="210">
        <f t="shared" si="50"/>
        <v>357.50000000000006</v>
      </c>
    </row>
    <row r="136" spans="2:41" ht="25.5">
      <c r="B136" s="264" t="s">
        <v>566</v>
      </c>
      <c r="C136" s="265" t="s">
        <v>2230</v>
      </c>
      <c r="D136" s="266" t="s">
        <v>2231</v>
      </c>
      <c r="E136" s="266">
        <v>250</v>
      </c>
      <c r="F136" s="265" t="s">
        <v>708</v>
      </c>
      <c r="G136" s="266">
        <v>10</v>
      </c>
      <c r="H136" s="267">
        <f t="shared" si="77"/>
        <v>21.11</v>
      </c>
      <c r="I136" s="267">
        <f t="shared" si="51"/>
        <v>211.1</v>
      </c>
      <c r="J136" s="267">
        <f t="shared" si="52"/>
        <v>48.553000000000026</v>
      </c>
      <c r="K136" s="268">
        <v>0.23</v>
      </c>
      <c r="L136" s="267">
        <f t="shared" si="53"/>
        <v>259.65300000000002</v>
      </c>
      <c r="M136" s="269"/>
      <c r="N136" s="269">
        <f>ROUND(O136*1.12,2)</f>
        <v>21.11</v>
      </c>
      <c r="O136" s="270">
        <f t="shared" si="73"/>
        <v>18.850000000000001</v>
      </c>
      <c r="P136" s="271">
        <v>29</v>
      </c>
      <c r="Q136" s="272" t="s">
        <v>2232</v>
      </c>
      <c r="R136" s="272" t="s">
        <v>1944</v>
      </c>
      <c r="S136" s="269"/>
      <c r="T136" s="269"/>
      <c r="U136" s="269"/>
      <c r="V136" s="269"/>
      <c r="W136" s="269"/>
      <c r="X136" s="219"/>
      <c r="Y136" s="337">
        <v>29.9</v>
      </c>
      <c r="Z136" s="274">
        <f t="shared" si="74"/>
        <v>18.836999999999996</v>
      </c>
      <c r="AC136" s="270">
        <f t="shared" si="78"/>
        <v>16.38</v>
      </c>
      <c r="AD136" s="270">
        <v>26</v>
      </c>
      <c r="AE136" s="272" t="s">
        <v>2232</v>
      </c>
      <c r="AF136" s="272" t="s">
        <v>1944</v>
      </c>
      <c r="AN136" s="210">
        <f t="shared" si="49"/>
        <v>20.735000000000003</v>
      </c>
      <c r="AO136" s="210">
        <f t="shared" si="50"/>
        <v>207.35000000000002</v>
      </c>
    </row>
    <row r="137" spans="2:41" ht="25.5">
      <c r="B137" s="264" t="s">
        <v>570</v>
      </c>
      <c r="C137" s="265" t="s">
        <v>2233</v>
      </c>
      <c r="D137" s="266" t="s">
        <v>2234</v>
      </c>
      <c r="E137" s="266">
        <v>250</v>
      </c>
      <c r="F137" s="265" t="s">
        <v>708</v>
      </c>
      <c r="G137" s="266">
        <v>10</v>
      </c>
      <c r="H137" s="267">
        <f t="shared" si="77"/>
        <v>23.3</v>
      </c>
      <c r="I137" s="267">
        <f t="shared" si="51"/>
        <v>233</v>
      </c>
      <c r="J137" s="267">
        <f t="shared" si="52"/>
        <v>53.590000000000032</v>
      </c>
      <c r="K137" s="268">
        <v>0.23</v>
      </c>
      <c r="L137" s="267">
        <f t="shared" si="53"/>
        <v>286.59000000000003</v>
      </c>
      <c r="M137" s="269"/>
      <c r="N137" s="269">
        <f t="shared" ref="N137:N139" si="79">ROUND(O137*1.12,2)</f>
        <v>23.3</v>
      </c>
      <c r="O137" s="270">
        <f t="shared" si="73"/>
        <v>20.8</v>
      </c>
      <c r="P137" s="271">
        <v>32</v>
      </c>
      <c r="Q137" s="272" t="s">
        <v>2235</v>
      </c>
      <c r="R137" s="272" t="s">
        <v>1944</v>
      </c>
      <c r="S137" s="269"/>
      <c r="T137" s="269"/>
      <c r="U137" s="269"/>
      <c r="V137" s="269"/>
      <c r="W137" s="269"/>
      <c r="X137" s="219"/>
      <c r="Y137" s="297">
        <v>36.799999999999997</v>
      </c>
      <c r="Z137" s="298">
        <f>AC137*1.15</f>
        <v>23.183999999999997</v>
      </c>
      <c r="AA137" s="299"/>
      <c r="AB137" s="300"/>
      <c r="AC137" s="301">
        <f t="shared" si="78"/>
        <v>20.16</v>
      </c>
      <c r="AD137" s="301">
        <v>32</v>
      </c>
      <c r="AE137" s="302" t="s">
        <v>2235</v>
      </c>
      <c r="AF137" s="302" t="s">
        <v>1944</v>
      </c>
      <c r="AG137" s="386"/>
      <c r="AH137" s="387"/>
      <c r="AN137" s="210">
        <f t="shared" si="49"/>
        <v>22.880000000000003</v>
      </c>
      <c r="AO137" s="210">
        <f t="shared" si="50"/>
        <v>228.8</v>
      </c>
    </row>
    <row r="138" spans="2:41" ht="25.5">
      <c r="B138" s="264" t="s">
        <v>574</v>
      </c>
      <c r="C138" s="265" t="s">
        <v>2233</v>
      </c>
      <c r="D138" s="266" t="s">
        <v>2236</v>
      </c>
      <c r="E138" s="266">
        <v>500</v>
      </c>
      <c r="F138" s="265" t="s">
        <v>708</v>
      </c>
      <c r="G138" s="266">
        <v>10</v>
      </c>
      <c r="H138" s="267">
        <f t="shared" si="77"/>
        <v>27.66</v>
      </c>
      <c r="I138" s="267">
        <f t="shared" si="51"/>
        <v>276.60000000000002</v>
      </c>
      <c r="J138" s="267">
        <f t="shared" si="52"/>
        <v>63.617999999999995</v>
      </c>
      <c r="K138" s="268">
        <v>0.23</v>
      </c>
      <c r="L138" s="267">
        <f t="shared" si="53"/>
        <v>340.21800000000002</v>
      </c>
      <c r="M138" s="269"/>
      <c r="N138" s="269">
        <f t="shared" si="79"/>
        <v>27.66</v>
      </c>
      <c r="O138" s="270">
        <f t="shared" si="73"/>
        <v>24.7</v>
      </c>
      <c r="P138" s="271">
        <v>38</v>
      </c>
      <c r="Q138" s="272" t="s">
        <v>2237</v>
      </c>
      <c r="R138" s="272" t="s">
        <v>1944</v>
      </c>
      <c r="S138" s="269"/>
      <c r="T138" s="269"/>
      <c r="U138" s="269"/>
      <c r="V138" s="269"/>
      <c r="W138" s="269"/>
      <c r="X138" s="219"/>
      <c r="Y138" s="337">
        <v>43.7</v>
      </c>
      <c r="Z138" s="274">
        <f>AC138*1.15</f>
        <v>27.530999999999999</v>
      </c>
      <c r="AC138" s="270">
        <f t="shared" si="78"/>
        <v>23.94</v>
      </c>
      <c r="AD138" s="270">
        <v>38</v>
      </c>
      <c r="AE138" s="272" t="s">
        <v>2237</v>
      </c>
      <c r="AF138" s="272" t="s">
        <v>1944</v>
      </c>
      <c r="AN138" s="210">
        <f t="shared" si="49"/>
        <v>27.17</v>
      </c>
      <c r="AO138" s="210">
        <f t="shared" si="50"/>
        <v>271.70000000000005</v>
      </c>
    </row>
    <row r="139" spans="2:41" ht="38.25">
      <c r="B139" s="264" t="s">
        <v>578</v>
      </c>
      <c r="C139" s="265" t="s">
        <v>2238</v>
      </c>
      <c r="D139" s="266">
        <v>426010500</v>
      </c>
      <c r="E139" s="266">
        <v>500</v>
      </c>
      <c r="F139" s="265" t="s">
        <v>708</v>
      </c>
      <c r="G139" s="266">
        <v>20</v>
      </c>
      <c r="H139" s="267">
        <v>16</v>
      </c>
      <c r="I139" s="267">
        <f t="shared" si="51"/>
        <v>320</v>
      </c>
      <c r="J139" s="267">
        <f t="shared" si="52"/>
        <v>73.600000000000023</v>
      </c>
      <c r="K139" s="268">
        <v>0.23</v>
      </c>
      <c r="L139" s="267">
        <f t="shared" si="53"/>
        <v>393.6</v>
      </c>
      <c r="M139" s="269"/>
      <c r="N139" s="269">
        <f t="shared" si="79"/>
        <v>89.08</v>
      </c>
      <c r="O139" s="270">
        <f>P139*0.77</f>
        <v>79.533300000000011</v>
      </c>
      <c r="P139" s="271">
        <v>103.29</v>
      </c>
      <c r="Q139" s="272">
        <v>426010500</v>
      </c>
      <c r="R139" s="315" t="s">
        <v>1972</v>
      </c>
      <c r="S139" s="316" t="s">
        <v>2022</v>
      </c>
      <c r="T139" s="269"/>
      <c r="U139" s="269"/>
      <c r="V139" s="269"/>
      <c r="W139" s="269"/>
      <c r="X139" s="219"/>
      <c r="Y139" s="337">
        <v>95.89</v>
      </c>
      <c r="Z139" s="274">
        <f>AC139*1.1</f>
        <v>11</v>
      </c>
      <c r="AC139" s="388">
        <v>10</v>
      </c>
      <c r="AD139" s="270"/>
      <c r="AE139" s="389" t="s">
        <v>2239</v>
      </c>
      <c r="AF139" s="305" t="s">
        <v>2240</v>
      </c>
      <c r="AH139" s="390">
        <v>632426010500</v>
      </c>
      <c r="AI139" s="307" t="s">
        <v>2241</v>
      </c>
      <c r="AJ139" s="308"/>
      <c r="AN139" s="210">
        <f t="shared" si="49"/>
        <v>87.486630000000019</v>
      </c>
      <c r="AO139" s="210">
        <f t="shared" si="50"/>
        <v>1749.7326000000003</v>
      </c>
    </row>
    <row r="140" spans="2:41" ht="25.5">
      <c r="B140" s="264" t="s">
        <v>583</v>
      </c>
      <c r="C140" s="265" t="s">
        <v>2242</v>
      </c>
      <c r="D140" s="266" t="s">
        <v>2243</v>
      </c>
      <c r="E140" s="338" t="s">
        <v>2147</v>
      </c>
      <c r="F140" s="265" t="s">
        <v>1617</v>
      </c>
      <c r="G140" s="266">
        <v>200</v>
      </c>
      <c r="H140" s="267">
        <f>N140*1</f>
        <v>2.81</v>
      </c>
      <c r="I140" s="267">
        <f t="shared" si="51"/>
        <v>562</v>
      </c>
      <c r="J140" s="267">
        <f t="shared" si="52"/>
        <v>44.960000000000036</v>
      </c>
      <c r="K140" s="268">
        <v>0.08</v>
      </c>
      <c r="L140" s="267">
        <f t="shared" si="53"/>
        <v>606.96</v>
      </c>
      <c r="M140" s="269"/>
      <c r="N140" s="269">
        <f>ROUND(O140*1.2,2)</f>
        <v>2.81</v>
      </c>
      <c r="O140" s="270">
        <f>P140*0.65</f>
        <v>2.3400000000000003</v>
      </c>
      <c r="P140" s="271">
        <v>3.6</v>
      </c>
      <c r="Q140" s="272" t="s">
        <v>2244</v>
      </c>
      <c r="R140" s="272" t="s">
        <v>1944</v>
      </c>
      <c r="S140" s="269"/>
      <c r="T140" s="269"/>
      <c r="U140" s="269"/>
      <c r="V140" s="269"/>
      <c r="W140" s="269"/>
      <c r="X140" s="219"/>
      <c r="Y140" s="337">
        <v>1.47</v>
      </c>
      <c r="Z140" s="274">
        <f t="shared" ref="Z140:Z150" si="80">AC140*1.15</f>
        <v>2.6082000000000001</v>
      </c>
      <c r="AB140" s="391">
        <v>0.08</v>
      </c>
      <c r="AC140" s="270">
        <f>AD140*0.63</f>
        <v>2.2680000000000002</v>
      </c>
      <c r="AD140" s="270">
        <v>3.6</v>
      </c>
      <c r="AE140" s="272" t="s">
        <v>2244</v>
      </c>
      <c r="AF140" s="272" t="s">
        <v>1944</v>
      </c>
      <c r="AN140" s="210">
        <f t="shared" si="49"/>
        <v>2.5740000000000007</v>
      </c>
      <c r="AO140" s="210">
        <f t="shared" si="50"/>
        <v>514.80000000000018</v>
      </c>
    </row>
    <row r="141" spans="2:41" ht="25.5">
      <c r="B141" s="264" t="s">
        <v>587</v>
      </c>
      <c r="C141" s="265" t="s">
        <v>2245</v>
      </c>
      <c r="D141" s="266" t="s">
        <v>2246</v>
      </c>
      <c r="E141" s="338" t="s">
        <v>2147</v>
      </c>
      <c r="F141" s="265" t="s">
        <v>1617</v>
      </c>
      <c r="G141" s="266">
        <v>200</v>
      </c>
      <c r="H141" s="267">
        <f t="shared" ref="H141:H150" si="81">N141*1</f>
        <v>2.0299999999999998</v>
      </c>
      <c r="I141" s="267">
        <f t="shared" si="51"/>
        <v>405.99999999999994</v>
      </c>
      <c r="J141" s="267">
        <f t="shared" si="52"/>
        <v>32.480000000000018</v>
      </c>
      <c r="K141" s="268">
        <v>0.08</v>
      </c>
      <c r="L141" s="267">
        <f t="shared" si="53"/>
        <v>438.47999999999996</v>
      </c>
      <c r="M141" s="269"/>
      <c r="N141" s="269">
        <f>ROUND(O141*1.2,2)</f>
        <v>2.0299999999999998</v>
      </c>
      <c r="O141" s="270">
        <f t="shared" ref="O141:O144" si="82">P141*0.65</f>
        <v>1.6900000000000002</v>
      </c>
      <c r="P141" s="271">
        <v>2.6</v>
      </c>
      <c r="Q141" s="272" t="s">
        <v>2247</v>
      </c>
      <c r="R141" s="272" t="s">
        <v>1944</v>
      </c>
      <c r="S141" s="269"/>
      <c r="T141" s="269"/>
      <c r="U141" s="269"/>
      <c r="V141" s="269"/>
      <c r="W141" s="269"/>
      <c r="X141" s="219"/>
      <c r="Y141" s="337">
        <v>0.6</v>
      </c>
      <c r="Z141" s="274">
        <f t="shared" si="80"/>
        <v>1.8836999999999999</v>
      </c>
      <c r="AB141" s="391">
        <v>0.08</v>
      </c>
      <c r="AC141" s="270">
        <f t="shared" ref="AC141:AC144" si="83">AD141*0.63</f>
        <v>1.6380000000000001</v>
      </c>
      <c r="AD141" s="270">
        <v>2.6</v>
      </c>
      <c r="AE141" s="272" t="s">
        <v>2247</v>
      </c>
      <c r="AF141" s="272" t="s">
        <v>1944</v>
      </c>
      <c r="AN141" s="210">
        <f t="shared" ref="AN141:AN189" si="84">O141*1.1</f>
        <v>1.8590000000000004</v>
      </c>
      <c r="AO141" s="210">
        <f t="shared" ref="AO141:AO189" si="85">AN141*G141</f>
        <v>371.80000000000007</v>
      </c>
    </row>
    <row r="142" spans="2:41" ht="25.5">
      <c r="B142" s="264" t="s">
        <v>591</v>
      </c>
      <c r="C142" s="265" t="s">
        <v>2248</v>
      </c>
      <c r="D142" s="266" t="s">
        <v>2249</v>
      </c>
      <c r="E142" s="338" t="s">
        <v>2147</v>
      </c>
      <c r="F142" s="265" t="s">
        <v>1617</v>
      </c>
      <c r="G142" s="266">
        <v>50</v>
      </c>
      <c r="H142" s="267">
        <f t="shared" si="81"/>
        <v>5.07</v>
      </c>
      <c r="I142" s="267">
        <f t="shared" si="51"/>
        <v>253.5</v>
      </c>
      <c r="J142" s="267">
        <f t="shared" si="52"/>
        <v>20.279999999999973</v>
      </c>
      <c r="K142" s="268">
        <v>0.08</v>
      </c>
      <c r="L142" s="267">
        <f t="shared" si="53"/>
        <v>273.77999999999997</v>
      </c>
      <c r="M142" s="269"/>
      <c r="N142" s="269">
        <f>ROUND(O142*1.2,2)</f>
        <v>5.07</v>
      </c>
      <c r="O142" s="270">
        <f t="shared" si="82"/>
        <v>4.2250000000000005</v>
      </c>
      <c r="P142" s="271">
        <v>6.5</v>
      </c>
      <c r="Q142" s="272" t="s">
        <v>2250</v>
      </c>
      <c r="R142" s="272" t="s">
        <v>1944</v>
      </c>
      <c r="S142" s="269"/>
      <c r="T142" s="269"/>
      <c r="U142" s="269"/>
      <c r="V142" s="269"/>
      <c r="W142" s="269"/>
      <c r="X142" s="219"/>
      <c r="Y142" s="337">
        <v>1.33</v>
      </c>
      <c r="Z142" s="274">
        <f t="shared" si="80"/>
        <v>4.6947600000000005</v>
      </c>
      <c r="AB142" s="391">
        <v>0.08</v>
      </c>
      <c r="AC142" s="270">
        <f t="shared" si="83"/>
        <v>4.0824000000000007</v>
      </c>
      <c r="AD142" s="270">
        <v>6.48</v>
      </c>
      <c r="AE142" s="272" t="s">
        <v>2250</v>
      </c>
      <c r="AF142" s="272" t="s">
        <v>1944</v>
      </c>
      <c r="AN142" s="210">
        <f t="shared" si="84"/>
        <v>4.6475000000000009</v>
      </c>
      <c r="AO142" s="210">
        <f t="shared" si="85"/>
        <v>232.37500000000006</v>
      </c>
    </row>
    <row r="143" spans="2:41" ht="25.5">
      <c r="B143" s="264" t="s">
        <v>595</v>
      </c>
      <c r="C143" s="265" t="s">
        <v>2251</v>
      </c>
      <c r="D143" s="266" t="s">
        <v>2252</v>
      </c>
      <c r="E143" s="338" t="s">
        <v>2147</v>
      </c>
      <c r="F143" s="265" t="s">
        <v>708</v>
      </c>
      <c r="G143" s="266">
        <v>25</v>
      </c>
      <c r="H143" s="267">
        <f t="shared" si="81"/>
        <v>10.19</v>
      </c>
      <c r="I143" s="267">
        <f t="shared" si="51"/>
        <v>254.75</v>
      </c>
      <c r="J143" s="267">
        <f t="shared" si="52"/>
        <v>58.592499999999973</v>
      </c>
      <c r="K143" s="268">
        <v>0.23</v>
      </c>
      <c r="L143" s="267">
        <f t="shared" si="53"/>
        <v>313.34249999999997</v>
      </c>
      <c r="M143" s="269"/>
      <c r="N143" s="269">
        <f>ROUND(O143*1.12,2)</f>
        <v>10.19</v>
      </c>
      <c r="O143" s="270">
        <f t="shared" si="82"/>
        <v>9.1</v>
      </c>
      <c r="P143" s="271">
        <v>14</v>
      </c>
      <c r="Q143" s="272" t="s">
        <v>2253</v>
      </c>
      <c r="R143" s="272" t="s">
        <v>1944</v>
      </c>
      <c r="S143" s="269"/>
      <c r="T143" s="269"/>
      <c r="U143" s="269"/>
      <c r="V143" s="269"/>
      <c r="W143" s="269"/>
      <c r="X143" s="219"/>
      <c r="Y143" s="337">
        <v>14.03</v>
      </c>
      <c r="Z143" s="274">
        <f t="shared" si="80"/>
        <v>10.142999999999999</v>
      </c>
      <c r="AC143" s="270">
        <f t="shared" si="83"/>
        <v>8.82</v>
      </c>
      <c r="AD143" s="270">
        <v>14</v>
      </c>
      <c r="AE143" s="272" t="s">
        <v>2253</v>
      </c>
      <c r="AF143" s="272" t="s">
        <v>1944</v>
      </c>
      <c r="AN143" s="210">
        <f t="shared" si="84"/>
        <v>10.01</v>
      </c>
      <c r="AO143" s="210">
        <f t="shared" si="85"/>
        <v>250.25</v>
      </c>
    </row>
    <row r="144" spans="2:41" ht="25.5">
      <c r="B144" s="264" t="s">
        <v>598</v>
      </c>
      <c r="C144" s="265" t="s">
        <v>2254</v>
      </c>
      <c r="D144" s="266" t="s">
        <v>2255</v>
      </c>
      <c r="E144" s="338" t="s">
        <v>2147</v>
      </c>
      <c r="F144" s="265" t="s">
        <v>708</v>
      </c>
      <c r="G144" s="266">
        <v>30</v>
      </c>
      <c r="H144" s="267">
        <f t="shared" si="81"/>
        <v>10.19</v>
      </c>
      <c r="I144" s="267">
        <f t="shared" si="51"/>
        <v>305.7</v>
      </c>
      <c r="J144" s="267">
        <f t="shared" si="52"/>
        <v>70.310999999999979</v>
      </c>
      <c r="K144" s="268">
        <v>0.23</v>
      </c>
      <c r="L144" s="267">
        <f t="shared" si="53"/>
        <v>376.01099999999997</v>
      </c>
      <c r="M144" s="269"/>
      <c r="N144" s="269">
        <f>ROUND(O144*1.12,2)</f>
        <v>10.19</v>
      </c>
      <c r="O144" s="270">
        <f t="shared" si="82"/>
        <v>9.1</v>
      </c>
      <c r="P144" s="271">
        <v>14</v>
      </c>
      <c r="Q144" s="272" t="s">
        <v>2256</v>
      </c>
      <c r="R144" s="272" t="s">
        <v>1944</v>
      </c>
      <c r="S144" s="269"/>
      <c r="T144" s="269"/>
      <c r="U144" s="269"/>
      <c r="V144" s="269"/>
      <c r="W144" s="269"/>
      <c r="X144" s="219"/>
      <c r="Y144" s="337">
        <v>16.010000000000002</v>
      </c>
      <c r="Z144" s="274">
        <f t="shared" si="80"/>
        <v>10.142999999999999</v>
      </c>
      <c r="AC144" s="270">
        <f t="shared" si="83"/>
        <v>8.82</v>
      </c>
      <c r="AD144" s="270">
        <v>14</v>
      </c>
      <c r="AE144" s="272" t="s">
        <v>2256</v>
      </c>
      <c r="AF144" s="272" t="s">
        <v>1944</v>
      </c>
      <c r="AN144" s="210">
        <f t="shared" si="84"/>
        <v>10.01</v>
      </c>
      <c r="AO144" s="210">
        <f t="shared" si="85"/>
        <v>300.3</v>
      </c>
    </row>
    <row r="145" spans="2:41" ht="25.5">
      <c r="B145" s="264" t="s">
        <v>601</v>
      </c>
      <c r="C145" s="265" t="s">
        <v>2257</v>
      </c>
      <c r="D145" s="266" t="s">
        <v>2258</v>
      </c>
      <c r="E145" s="338" t="s">
        <v>2147</v>
      </c>
      <c r="F145" s="265" t="s">
        <v>708</v>
      </c>
      <c r="G145" s="266">
        <v>5</v>
      </c>
      <c r="H145" s="267">
        <f t="shared" si="81"/>
        <v>14.56</v>
      </c>
      <c r="I145" s="267">
        <f t="shared" si="51"/>
        <v>72.8</v>
      </c>
      <c r="J145" s="267">
        <f t="shared" si="52"/>
        <v>16.744</v>
      </c>
      <c r="K145" s="268">
        <v>0.23</v>
      </c>
      <c r="L145" s="267">
        <f t="shared" si="53"/>
        <v>89.543999999999997</v>
      </c>
      <c r="M145" s="269"/>
      <c r="N145" s="269">
        <f>ROUND(O145*1.12,2)</f>
        <v>14.56</v>
      </c>
      <c r="O145" s="270">
        <f>P145*0.65</f>
        <v>13</v>
      </c>
      <c r="P145" s="271">
        <v>20</v>
      </c>
      <c r="Q145" s="272" t="s">
        <v>2259</v>
      </c>
      <c r="R145" s="272" t="s">
        <v>1944</v>
      </c>
      <c r="S145" s="267" t="s">
        <v>2260</v>
      </c>
      <c r="T145" s="269"/>
      <c r="U145" s="269"/>
      <c r="V145" s="269"/>
      <c r="W145" s="269"/>
      <c r="X145" s="219"/>
      <c r="Y145" s="337">
        <v>1.94</v>
      </c>
      <c r="Z145" s="274">
        <f t="shared" si="80"/>
        <v>7.0609999999999991</v>
      </c>
      <c r="AB145">
        <v>14.1</v>
      </c>
      <c r="AC145" s="271">
        <v>6.14</v>
      </c>
      <c r="AD145" s="270">
        <v>20</v>
      </c>
      <c r="AE145" s="272" t="s">
        <v>2261</v>
      </c>
      <c r="AF145" s="272" t="s">
        <v>2262</v>
      </c>
      <c r="AH145" s="272" t="s">
        <v>2262</v>
      </c>
      <c r="AI145" s="272">
        <v>6.14</v>
      </c>
      <c r="AJ145" s="272" t="s">
        <v>2261</v>
      </c>
      <c r="AN145" s="210">
        <f t="shared" si="84"/>
        <v>14.3</v>
      </c>
      <c r="AO145" s="210">
        <f t="shared" si="85"/>
        <v>71.5</v>
      </c>
    </row>
    <row r="146" spans="2:41" ht="25.5">
      <c r="B146" s="264" t="s">
        <v>603</v>
      </c>
      <c r="C146" s="265" t="s">
        <v>2263</v>
      </c>
      <c r="D146" s="266" t="s">
        <v>2264</v>
      </c>
      <c r="E146" s="338" t="s">
        <v>2147</v>
      </c>
      <c r="F146" s="265" t="s">
        <v>708</v>
      </c>
      <c r="G146" s="266">
        <v>5</v>
      </c>
      <c r="H146" s="267">
        <f t="shared" si="81"/>
        <v>14.56</v>
      </c>
      <c r="I146" s="267">
        <f t="shared" si="51"/>
        <v>72.8</v>
      </c>
      <c r="J146" s="267">
        <f t="shared" si="52"/>
        <v>16.744</v>
      </c>
      <c r="K146" s="268">
        <v>0.23</v>
      </c>
      <c r="L146" s="267">
        <f t="shared" si="53"/>
        <v>89.543999999999997</v>
      </c>
      <c r="M146" s="269"/>
      <c r="N146" s="269">
        <f t="shared" ref="N146:N148" si="86">ROUND(O146*1.12,2)</f>
        <v>14.56</v>
      </c>
      <c r="O146" s="270">
        <f t="shared" ref="O146:O150" si="87">P146*0.65</f>
        <v>13</v>
      </c>
      <c r="P146" s="271">
        <v>20</v>
      </c>
      <c r="Q146" s="272" t="s">
        <v>2265</v>
      </c>
      <c r="R146" s="272" t="s">
        <v>1944</v>
      </c>
      <c r="S146" s="267" t="s">
        <v>2260</v>
      </c>
      <c r="T146" s="269"/>
      <c r="U146" s="269"/>
      <c r="V146" s="269"/>
      <c r="W146" s="269"/>
      <c r="X146" s="219"/>
      <c r="Y146" s="337">
        <v>1.94</v>
      </c>
      <c r="Z146" s="274">
        <f t="shared" si="80"/>
        <v>7.0609999999999991</v>
      </c>
      <c r="AB146">
        <v>14.1</v>
      </c>
      <c r="AC146" s="271">
        <v>6.14</v>
      </c>
      <c r="AD146" s="270">
        <v>20</v>
      </c>
      <c r="AE146" s="272" t="s">
        <v>2266</v>
      </c>
      <c r="AF146" s="272" t="s">
        <v>2262</v>
      </c>
      <c r="AH146" s="272" t="s">
        <v>2262</v>
      </c>
      <c r="AI146" s="272">
        <v>6.14</v>
      </c>
      <c r="AJ146" s="272" t="s">
        <v>2266</v>
      </c>
      <c r="AN146" s="210">
        <f t="shared" si="84"/>
        <v>14.3</v>
      </c>
      <c r="AO146" s="210">
        <f t="shared" si="85"/>
        <v>71.5</v>
      </c>
    </row>
    <row r="147" spans="2:41" ht="25.5">
      <c r="B147" s="264" t="s">
        <v>607</v>
      </c>
      <c r="C147" s="265" t="s">
        <v>2267</v>
      </c>
      <c r="D147" s="266" t="s">
        <v>2268</v>
      </c>
      <c r="E147" s="338" t="s">
        <v>2147</v>
      </c>
      <c r="F147" s="265" t="s">
        <v>708</v>
      </c>
      <c r="G147" s="266">
        <v>5</v>
      </c>
      <c r="H147" s="267">
        <f t="shared" si="81"/>
        <v>14.56</v>
      </c>
      <c r="I147" s="267">
        <f t="shared" ref="I147:I189" si="88">H147*G147</f>
        <v>72.8</v>
      </c>
      <c r="J147" s="267">
        <f t="shared" ref="J147:J189" si="89">L147-I147</f>
        <v>16.744</v>
      </c>
      <c r="K147" s="268">
        <v>0.23</v>
      </c>
      <c r="L147" s="267">
        <f t="shared" ref="L147:L189" si="90">I147+I147*K147</f>
        <v>89.543999999999997</v>
      </c>
      <c r="M147" s="269"/>
      <c r="N147" s="269">
        <f t="shared" si="86"/>
        <v>14.56</v>
      </c>
      <c r="O147" s="270">
        <f t="shared" si="87"/>
        <v>13</v>
      </c>
      <c r="P147" s="271">
        <v>20</v>
      </c>
      <c r="Q147" s="272" t="s">
        <v>2269</v>
      </c>
      <c r="R147" s="272" t="s">
        <v>1944</v>
      </c>
      <c r="S147" s="267" t="s">
        <v>2260</v>
      </c>
      <c r="T147" s="269"/>
      <c r="U147" s="269"/>
      <c r="V147" s="269"/>
      <c r="W147" s="269"/>
      <c r="X147" s="219"/>
      <c r="Y147" s="337">
        <v>1.94</v>
      </c>
      <c r="Z147" s="274">
        <f t="shared" si="80"/>
        <v>8.625</v>
      </c>
      <c r="AB147">
        <v>14.1</v>
      </c>
      <c r="AC147" s="271">
        <v>7.5</v>
      </c>
      <c r="AD147" s="270">
        <v>20</v>
      </c>
      <c r="AE147" s="272" t="s">
        <v>2270</v>
      </c>
      <c r="AF147" s="272" t="s">
        <v>2262</v>
      </c>
      <c r="AH147" s="272" t="s">
        <v>2262</v>
      </c>
      <c r="AI147" s="272">
        <v>7.5</v>
      </c>
      <c r="AJ147" s="272" t="s">
        <v>2270</v>
      </c>
      <c r="AN147" s="210">
        <f t="shared" si="84"/>
        <v>14.3</v>
      </c>
      <c r="AO147" s="210">
        <f t="shared" si="85"/>
        <v>71.5</v>
      </c>
    </row>
    <row r="148" spans="2:41" ht="25.5">
      <c r="B148" s="264" t="s">
        <v>611</v>
      </c>
      <c r="C148" s="265" t="s">
        <v>2271</v>
      </c>
      <c r="D148" s="266" t="s">
        <v>2272</v>
      </c>
      <c r="E148" s="338" t="s">
        <v>2147</v>
      </c>
      <c r="F148" s="265" t="s">
        <v>708</v>
      </c>
      <c r="G148" s="266">
        <v>5</v>
      </c>
      <c r="H148" s="267">
        <f t="shared" si="81"/>
        <v>14.56</v>
      </c>
      <c r="I148" s="267">
        <f t="shared" si="88"/>
        <v>72.8</v>
      </c>
      <c r="J148" s="267">
        <f t="shared" si="89"/>
        <v>16.744</v>
      </c>
      <c r="K148" s="268">
        <v>0.23</v>
      </c>
      <c r="L148" s="267">
        <f t="shared" si="90"/>
        <v>89.543999999999997</v>
      </c>
      <c r="M148" s="269"/>
      <c r="N148" s="269">
        <f t="shared" si="86"/>
        <v>14.56</v>
      </c>
      <c r="O148" s="270">
        <f t="shared" si="87"/>
        <v>13</v>
      </c>
      <c r="P148" s="271">
        <v>20</v>
      </c>
      <c r="Q148" s="272" t="s">
        <v>2273</v>
      </c>
      <c r="R148" s="272" t="s">
        <v>1944</v>
      </c>
      <c r="S148" s="267" t="s">
        <v>2260</v>
      </c>
      <c r="T148" s="269"/>
      <c r="U148" s="269"/>
      <c r="V148" s="269"/>
      <c r="W148" s="269"/>
      <c r="X148" s="219"/>
      <c r="Y148" s="337">
        <v>1.94</v>
      </c>
      <c r="Z148" s="274">
        <f t="shared" si="80"/>
        <v>7.0609999999999991</v>
      </c>
      <c r="AB148">
        <v>14.1</v>
      </c>
      <c r="AC148" s="271">
        <v>6.14</v>
      </c>
      <c r="AD148" s="270">
        <v>20</v>
      </c>
      <c r="AE148" s="272" t="s">
        <v>2274</v>
      </c>
      <c r="AF148" s="272" t="s">
        <v>2262</v>
      </c>
      <c r="AH148" s="272" t="s">
        <v>2262</v>
      </c>
      <c r="AI148" s="272">
        <v>6.14</v>
      </c>
      <c r="AJ148" s="272" t="s">
        <v>2274</v>
      </c>
      <c r="AN148" s="210">
        <f t="shared" si="84"/>
        <v>14.3</v>
      </c>
      <c r="AO148" s="210">
        <f t="shared" si="85"/>
        <v>71.5</v>
      </c>
    </row>
    <row r="149" spans="2:41" ht="25.5">
      <c r="B149" s="264" t="s">
        <v>617</v>
      </c>
      <c r="C149" s="265" t="s">
        <v>2275</v>
      </c>
      <c r="D149" s="266" t="s">
        <v>2276</v>
      </c>
      <c r="E149" s="266">
        <v>50</v>
      </c>
      <c r="F149" s="265" t="s">
        <v>1624</v>
      </c>
      <c r="G149" s="266">
        <v>15</v>
      </c>
      <c r="H149" s="267">
        <f t="shared" si="81"/>
        <v>40.68</v>
      </c>
      <c r="I149" s="267">
        <f t="shared" si="88"/>
        <v>610.20000000000005</v>
      </c>
      <c r="J149" s="267">
        <f t="shared" si="89"/>
        <v>140.346</v>
      </c>
      <c r="K149" s="268">
        <v>0.23</v>
      </c>
      <c r="L149" s="267">
        <f t="shared" si="90"/>
        <v>750.54600000000005</v>
      </c>
      <c r="M149" s="269"/>
      <c r="N149" s="269">
        <f>ROUND(U149*1.13,2)</f>
        <v>40.68</v>
      </c>
      <c r="O149" s="333">
        <f t="shared" si="87"/>
        <v>18.2</v>
      </c>
      <c r="P149" s="333">
        <v>28</v>
      </c>
      <c r="Q149" s="361" t="s">
        <v>2277</v>
      </c>
      <c r="R149" s="361" t="s">
        <v>1944</v>
      </c>
      <c r="S149" s="269"/>
      <c r="T149" s="269">
        <f>ROUND(U149*1.15,2)</f>
        <v>41.4</v>
      </c>
      <c r="U149" s="269">
        <v>36</v>
      </c>
      <c r="V149" s="269"/>
      <c r="W149" s="269" t="s">
        <v>2278</v>
      </c>
      <c r="X149" s="219"/>
      <c r="Y149" s="337"/>
      <c r="Z149" s="274">
        <f t="shared" si="80"/>
        <v>36.799999999999997</v>
      </c>
      <c r="AC149" s="270">
        <f>AD149*0.8</f>
        <v>32</v>
      </c>
      <c r="AD149" s="270">
        <v>40</v>
      </c>
      <c r="AE149" s="272"/>
      <c r="AF149" s="272" t="s">
        <v>2279</v>
      </c>
      <c r="AN149" s="210">
        <f t="shared" si="84"/>
        <v>20.02</v>
      </c>
      <c r="AO149" s="210">
        <f t="shared" si="85"/>
        <v>300.3</v>
      </c>
    </row>
    <row r="150" spans="2:41" ht="25.5">
      <c r="B150" s="264" t="s">
        <v>620</v>
      </c>
      <c r="C150" s="265" t="s">
        <v>2280</v>
      </c>
      <c r="D150" s="266" t="s">
        <v>2276</v>
      </c>
      <c r="E150" s="266">
        <v>50</v>
      </c>
      <c r="F150" s="265" t="s">
        <v>1624</v>
      </c>
      <c r="G150" s="266">
        <v>10</v>
      </c>
      <c r="H150" s="267">
        <f t="shared" si="81"/>
        <v>41.58</v>
      </c>
      <c r="I150" s="267">
        <f t="shared" si="88"/>
        <v>415.79999999999995</v>
      </c>
      <c r="J150" s="267">
        <f t="shared" si="89"/>
        <v>95.634000000000015</v>
      </c>
      <c r="K150" s="268">
        <v>0.23</v>
      </c>
      <c r="L150" s="267">
        <f t="shared" si="90"/>
        <v>511.43399999999997</v>
      </c>
      <c r="M150" s="269"/>
      <c r="N150" s="269">
        <f>ROUND(U150*1.13,2)</f>
        <v>41.58</v>
      </c>
      <c r="O150" s="333">
        <f t="shared" si="87"/>
        <v>18.2</v>
      </c>
      <c r="P150" s="333">
        <v>28</v>
      </c>
      <c r="Q150" s="361" t="s">
        <v>2281</v>
      </c>
      <c r="R150" s="361" t="s">
        <v>1944</v>
      </c>
      <c r="S150" s="269"/>
      <c r="T150" s="269">
        <f>ROUND(U150*1.15,2)</f>
        <v>42.32</v>
      </c>
      <c r="U150" s="269">
        <v>36.799999999999997</v>
      </c>
      <c r="V150" s="269"/>
      <c r="W150" s="269" t="s">
        <v>2278</v>
      </c>
      <c r="X150" s="219"/>
      <c r="Y150" s="337"/>
      <c r="Z150" s="274">
        <f t="shared" si="80"/>
        <v>42.32</v>
      </c>
      <c r="AC150" s="270">
        <f>AD150*0.8</f>
        <v>36.800000000000004</v>
      </c>
      <c r="AD150" s="270">
        <v>46</v>
      </c>
      <c r="AE150" s="272"/>
      <c r="AF150" s="272" t="s">
        <v>2279</v>
      </c>
      <c r="AN150" s="210">
        <f t="shared" si="84"/>
        <v>20.02</v>
      </c>
      <c r="AO150" s="210">
        <f t="shared" si="85"/>
        <v>200.2</v>
      </c>
    </row>
    <row r="151" spans="2:41" ht="25.5">
      <c r="B151" s="264" t="s">
        <v>625</v>
      </c>
      <c r="C151" s="265" t="s">
        <v>2282</v>
      </c>
      <c r="D151" s="266" t="s">
        <v>2283</v>
      </c>
      <c r="E151" s="266">
        <v>5</v>
      </c>
      <c r="F151" s="265" t="s">
        <v>1617</v>
      </c>
      <c r="G151" s="266">
        <v>5</v>
      </c>
      <c r="H151" s="267">
        <f>N151*1</f>
        <v>52.37</v>
      </c>
      <c r="I151" s="267">
        <f t="shared" si="88"/>
        <v>261.84999999999997</v>
      </c>
      <c r="J151" s="267">
        <f t="shared" si="89"/>
        <v>60.225500000000011</v>
      </c>
      <c r="K151" s="268">
        <v>0.23</v>
      </c>
      <c r="L151" s="267">
        <f t="shared" si="90"/>
        <v>322.07549999999998</v>
      </c>
      <c r="M151" s="269"/>
      <c r="N151" s="269">
        <f>ROUND(O151*1.15,2)</f>
        <v>52.37</v>
      </c>
      <c r="O151" s="270">
        <v>45.54</v>
      </c>
      <c r="P151" s="271">
        <v>13</v>
      </c>
      <c r="Q151" s="272" t="s">
        <v>2283</v>
      </c>
      <c r="R151" s="272" t="s">
        <v>2192</v>
      </c>
      <c r="S151" s="269"/>
      <c r="T151" s="269"/>
      <c r="U151" s="269"/>
      <c r="V151" s="269"/>
      <c r="W151" s="269"/>
      <c r="X151" s="219"/>
      <c r="Y151" s="337"/>
      <c r="Z151" s="274"/>
      <c r="AC151" s="270"/>
      <c r="AD151" s="270"/>
      <c r="AE151" s="272" t="s">
        <v>2284</v>
      </c>
      <c r="AF151" s="272"/>
      <c r="AN151" s="210">
        <f t="shared" si="84"/>
        <v>50.094000000000001</v>
      </c>
      <c r="AO151" s="210">
        <f t="shared" si="85"/>
        <v>250.47</v>
      </c>
    </row>
    <row r="152" spans="2:41" ht="25.5">
      <c r="B152" s="264" t="s">
        <v>630</v>
      </c>
      <c r="C152" s="265" t="s">
        <v>2285</v>
      </c>
      <c r="D152" s="266" t="s">
        <v>2286</v>
      </c>
      <c r="E152" s="266">
        <v>7</v>
      </c>
      <c r="F152" s="265" t="s">
        <v>1617</v>
      </c>
      <c r="G152" s="266">
        <v>5</v>
      </c>
      <c r="H152" s="267">
        <f t="shared" ref="H152:H153" si="91">N152*1</f>
        <v>16.100000000000001</v>
      </c>
      <c r="I152" s="267">
        <f t="shared" si="88"/>
        <v>80.5</v>
      </c>
      <c r="J152" s="267">
        <f t="shared" si="89"/>
        <v>18.515000000000001</v>
      </c>
      <c r="K152" s="268">
        <v>0.23</v>
      </c>
      <c r="L152" s="267">
        <f t="shared" si="90"/>
        <v>99.015000000000001</v>
      </c>
      <c r="M152" s="269"/>
      <c r="N152" s="269">
        <f t="shared" ref="N152:N170" si="92">ROUND(O152*1.17,2)</f>
        <v>16.100000000000001</v>
      </c>
      <c r="O152" s="270">
        <f t="shared" ref="O152:O153" si="93">P152*4.3*0.8</f>
        <v>13.76</v>
      </c>
      <c r="P152" s="271">
        <v>4</v>
      </c>
      <c r="Q152" s="272" t="s">
        <v>2286</v>
      </c>
      <c r="R152" s="272" t="s">
        <v>2192</v>
      </c>
      <c r="S152" s="269"/>
      <c r="T152" s="269"/>
      <c r="U152" s="269"/>
      <c r="V152" s="269"/>
      <c r="W152" s="269"/>
      <c r="X152" s="219"/>
      <c r="Y152" s="337"/>
      <c r="Z152" s="274"/>
      <c r="AC152" s="270"/>
      <c r="AD152" s="270"/>
      <c r="AE152" s="272" t="s">
        <v>2284</v>
      </c>
      <c r="AF152" s="272"/>
      <c r="AN152" s="210">
        <f t="shared" si="84"/>
        <v>15.136000000000001</v>
      </c>
      <c r="AO152" s="210">
        <f t="shared" si="85"/>
        <v>75.680000000000007</v>
      </c>
    </row>
    <row r="153" spans="2:41" ht="25.5">
      <c r="B153" s="264" t="s">
        <v>634</v>
      </c>
      <c r="C153" s="265" t="s">
        <v>2287</v>
      </c>
      <c r="D153" s="266" t="s">
        <v>2288</v>
      </c>
      <c r="E153" s="266">
        <v>2</v>
      </c>
      <c r="F153" s="265" t="s">
        <v>1617</v>
      </c>
      <c r="G153" s="266">
        <v>2</v>
      </c>
      <c r="H153" s="267">
        <f t="shared" si="91"/>
        <v>56.35</v>
      </c>
      <c r="I153" s="267">
        <f t="shared" si="88"/>
        <v>112.7</v>
      </c>
      <c r="J153" s="267">
        <f t="shared" si="89"/>
        <v>25.921000000000006</v>
      </c>
      <c r="K153" s="268">
        <v>0.23</v>
      </c>
      <c r="L153" s="267">
        <f t="shared" si="90"/>
        <v>138.62100000000001</v>
      </c>
      <c r="M153" s="269"/>
      <c r="N153" s="269">
        <f t="shared" si="92"/>
        <v>56.35</v>
      </c>
      <c r="O153" s="270">
        <f t="shared" si="93"/>
        <v>48.16</v>
      </c>
      <c r="P153" s="271">
        <v>14</v>
      </c>
      <c r="Q153" s="272" t="s">
        <v>2288</v>
      </c>
      <c r="R153" s="272" t="s">
        <v>2192</v>
      </c>
      <c r="S153" s="269"/>
      <c r="T153" s="269"/>
      <c r="U153" s="269"/>
      <c r="V153" s="269"/>
      <c r="W153" s="269"/>
      <c r="X153" s="219"/>
      <c r="Y153" s="337"/>
      <c r="Z153" s="274"/>
      <c r="AC153" s="270"/>
      <c r="AD153" s="270"/>
      <c r="AE153" s="272" t="s">
        <v>2284</v>
      </c>
      <c r="AF153" s="272"/>
      <c r="AN153" s="210">
        <f t="shared" si="84"/>
        <v>52.975999999999999</v>
      </c>
      <c r="AO153" s="210">
        <f t="shared" si="85"/>
        <v>105.952</v>
      </c>
    </row>
    <row r="154" spans="2:41" s="353" customFormat="1" ht="76.5">
      <c r="B154" s="266" t="s">
        <v>639</v>
      </c>
      <c r="C154" s="265" t="s">
        <v>2289</v>
      </c>
      <c r="D154" s="266" t="s">
        <v>2290</v>
      </c>
      <c r="E154" s="266">
        <v>300</v>
      </c>
      <c r="F154" s="265" t="s">
        <v>708</v>
      </c>
      <c r="G154" s="266">
        <v>5</v>
      </c>
      <c r="H154" s="325">
        <v>630</v>
      </c>
      <c r="I154" s="325">
        <f t="shared" si="88"/>
        <v>3150</v>
      </c>
      <c r="J154" s="325">
        <f t="shared" si="89"/>
        <v>724.5</v>
      </c>
      <c r="K154" s="326">
        <v>0.23</v>
      </c>
      <c r="L154" s="325">
        <f t="shared" si="90"/>
        <v>3874.5</v>
      </c>
      <c r="M154" s="343"/>
      <c r="N154" s="343">
        <f t="shared" si="92"/>
        <v>1164.1500000000001</v>
      </c>
      <c r="O154" s="344">
        <v>995</v>
      </c>
      <c r="P154" s="332" t="s">
        <v>2291</v>
      </c>
      <c r="Q154" s="392" t="s">
        <v>2290</v>
      </c>
      <c r="R154" s="346" t="s">
        <v>2170</v>
      </c>
      <c r="S154" s="347" t="s">
        <v>2022</v>
      </c>
      <c r="T154" s="343"/>
      <c r="U154" s="343"/>
      <c r="V154" s="343"/>
      <c r="W154" s="343"/>
      <c r="X154" s="219"/>
      <c r="Y154" s="352">
        <v>644</v>
      </c>
      <c r="Z154" s="274">
        <f>AC154*1</f>
        <v>100</v>
      </c>
      <c r="AC154" s="393">
        <v>100</v>
      </c>
      <c r="AD154" s="344"/>
      <c r="AE154" s="394" t="s">
        <v>2292</v>
      </c>
      <c r="AF154" s="392" t="s">
        <v>2170</v>
      </c>
      <c r="AN154" s="355">
        <f t="shared" si="84"/>
        <v>1094.5</v>
      </c>
      <c r="AO154" s="355">
        <f t="shared" si="85"/>
        <v>5472.5</v>
      </c>
    </row>
    <row r="155" spans="2:41" ht="25.5">
      <c r="B155" s="264" t="s">
        <v>642</v>
      </c>
      <c r="C155" s="265" t="s">
        <v>2293</v>
      </c>
      <c r="D155" s="266" t="s">
        <v>2294</v>
      </c>
      <c r="E155" s="266">
        <v>25</v>
      </c>
      <c r="F155" s="265" t="s">
        <v>708</v>
      </c>
      <c r="G155" s="266">
        <v>40</v>
      </c>
      <c r="H155" s="267">
        <f>N155*1</f>
        <v>2.09</v>
      </c>
      <c r="I155" s="267">
        <f t="shared" si="88"/>
        <v>83.6</v>
      </c>
      <c r="J155" s="267">
        <f t="shared" si="89"/>
        <v>19.227999999999994</v>
      </c>
      <c r="K155" s="268">
        <v>0.23</v>
      </c>
      <c r="L155" s="267">
        <f t="shared" si="90"/>
        <v>102.82799999999999</v>
      </c>
      <c r="M155" s="269"/>
      <c r="N155" s="269">
        <f>ROUND(O155*1.17,2)</f>
        <v>2.09</v>
      </c>
      <c r="O155" s="270">
        <f>P155*0.65</f>
        <v>1.7875000000000001</v>
      </c>
      <c r="P155" s="271">
        <v>2.75</v>
      </c>
      <c r="Q155" s="272" t="s">
        <v>2295</v>
      </c>
      <c r="R155" s="272" t="s">
        <v>1944</v>
      </c>
      <c r="S155" s="269"/>
      <c r="T155" s="269"/>
      <c r="U155" s="269"/>
      <c r="V155" s="269"/>
      <c r="W155" s="269"/>
      <c r="X155" s="219"/>
      <c r="Y155" s="337">
        <v>0.69</v>
      </c>
      <c r="Z155" s="274">
        <f>AC155*1.15</f>
        <v>1.9778849999999999</v>
      </c>
      <c r="AC155" s="270">
        <f>AD155*0.63</f>
        <v>1.7199</v>
      </c>
      <c r="AD155" s="270">
        <v>2.73</v>
      </c>
      <c r="AE155" s="272" t="s">
        <v>2295</v>
      </c>
      <c r="AF155" s="272" t="s">
        <v>1944</v>
      </c>
      <c r="AN155" s="210">
        <f t="shared" si="84"/>
        <v>1.9662500000000003</v>
      </c>
      <c r="AO155" s="210">
        <f t="shared" si="85"/>
        <v>78.650000000000006</v>
      </c>
    </row>
    <row r="156" spans="2:41" ht="25.5">
      <c r="B156" s="264" t="s">
        <v>645</v>
      </c>
      <c r="C156" s="265" t="s">
        <v>2293</v>
      </c>
      <c r="D156" s="266" t="s">
        <v>2296</v>
      </c>
      <c r="E156" s="266">
        <v>50</v>
      </c>
      <c r="F156" s="265" t="s">
        <v>708</v>
      </c>
      <c r="G156" s="266">
        <v>40</v>
      </c>
      <c r="H156" s="267">
        <f t="shared" ref="H156:H176" si="94">N156*1</f>
        <v>2.3199999999999998</v>
      </c>
      <c r="I156" s="267">
        <f t="shared" si="88"/>
        <v>92.8</v>
      </c>
      <c r="J156" s="267">
        <f t="shared" si="89"/>
        <v>21.344000000000008</v>
      </c>
      <c r="K156" s="268">
        <v>0.23</v>
      </c>
      <c r="L156" s="267">
        <f t="shared" si="90"/>
        <v>114.14400000000001</v>
      </c>
      <c r="M156" s="269"/>
      <c r="N156" s="269">
        <f t="shared" ref="N156:N162" si="95">ROUND(O156*1.17,2)</f>
        <v>2.3199999999999998</v>
      </c>
      <c r="O156" s="270">
        <f t="shared" ref="O156:O176" si="96">P156*0.65</f>
        <v>1.9824999999999999</v>
      </c>
      <c r="P156" s="271">
        <v>3.05</v>
      </c>
      <c r="Q156" s="272" t="s">
        <v>2297</v>
      </c>
      <c r="R156" s="272" t="s">
        <v>1944</v>
      </c>
      <c r="S156" s="269"/>
      <c r="T156" s="269"/>
      <c r="U156" s="269"/>
      <c r="V156" s="269"/>
      <c r="W156" s="269"/>
      <c r="X156" s="219"/>
      <c r="Y156" s="337">
        <v>1.01</v>
      </c>
      <c r="Z156" s="274">
        <f t="shared" ref="Z156:Z163" si="97">AC156*1.15</f>
        <v>2.2097249999999997</v>
      </c>
      <c r="AC156" s="270">
        <f t="shared" ref="AC156:AC176" si="98">AD156*0.63</f>
        <v>1.9215</v>
      </c>
      <c r="AD156" s="270">
        <v>3.05</v>
      </c>
      <c r="AE156" s="272" t="s">
        <v>2297</v>
      </c>
      <c r="AF156" s="272" t="s">
        <v>1944</v>
      </c>
      <c r="AN156" s="210">
        <f t="shared" si="84"/>
        <v>2.1807500000000002</v>
      </c>
      <c r="AO156" s="210">
        <f t="shared" si="85"/>
        <v>87.23</v>
      </c>
    </row>
    <row r="157" spans="2:41" ht="25.5">
      <c r="B157" s="264" t="s">
        <v>648</v>
      </c>
      <c r="C157" s="265" t="s">
        <v>2293</v>
      </c>
      <c r="D157" s="266" t="s">
        <v>2298</v>
      </c>
      <c r="E157" s="266">
        <v>100</v>
      </c>
      <c r="F157" s="265" t="s">
        <v>708</v>
      </c>
      <c r="G157" s="266">
        <v>40</v>
      </c>
      <c r="H157" s="267">
        <f t="shared" si="94"/>
        <v>2.36</v>
      </c>
      <c r="I157" s="267">
        <f t="shared" si="88"/>
        <v>94.399999999999991</v>
      </c>
      <c r="J157" s="267">
        <f t="shared" si="89"/>
        <v>21.712000000000003</v>
      </c>
      <c r="K157" s="268">
        <v>0.23</v>
      </c>
      <c r="L157" s="267">
        <f t="shared" si="90"/>
        <v>116.11199999999999</v>
      </c>
      <c r="M157" s="269"/>
      <c r="N157" s="269">
        <f t="shared" si="95"/>
        <v>2.36</v>
      </c>
      <c r="O157" s="270">
        <f t="shared" si="96"/>
        <v>2.0150000000000001</v>
      </c>
      <c r="P157" s="271">
        <v>3.1</v>
      </c>
      <c r="Q157" s="272" t="s">
        <v>2297</v>
      </c>
      <c r="R157" s="272" t="s">
        <v>1944</v>
      </c>
      <c r="S157" s="269"/>
      <c r="T157" s="269"/>
      <c r="U157" s="269"/>
      <c r="V157" s="269"/>
      <c r="W157" s="269"/>
      <c r="X157" s="219"/>
      <c r="Y157" s="337">
        <v>1.05</v>
      </c>
      <c r="Z157" s="274">
        <f t="shared" si="97"/>
        <v>2.2459500000000001</v>
      </c>
      <c r="AC157" s="270">
        <f t="shared" si="98"/>
        <v>1.9530000000000001</v>
      </c>
      <c r="AD157" s="270">
        <v>3.1</v>
      </c>
      <c r="AE157" s="272" t="s">
        <v>2299</v>
      </c>
      <c r="AF157" s="272" t="s">
        <v>1944</v>
      </c>
      <c r="AN157" s="210">
        <f t="shared" si="84"/>
        <v>2.2165000000000004</v>
      </c>
      <c r="AO157" s="210">
        <f t="shared" si="85"/>
        <v>88.660000000000011</v>
      </c>
    </row>
    <row r="158" spans="2:41" ht="25.5">
      <c r="B158" s="264" t="s">
        <v>651</v>
      </c>
      <c r="C158" s="265" t="s">
        <v>2293</v>
      </c>
      <c r="D158" s="266" t="s">
        <v>2300</v>
      </c>
      <c r="E158" s="266">
        <v>150</v>
      </c>
      <c r="F158" s="265" t="s">
        <v>708</v>
      </c>
      <c r="G158" s="266">
        <v>40</v>
      </c>
      <c r="H158" s="267">
        <f t="shared" si="94"/>
        <v>2.4300000000000002</v>
      </c>
      <c r="I158" s="267">
        <f t="shared" si="88"/>
        <v>97.2</v>
      </c>
      <c r="J158" s="267">
        <f t="shared" si="89"/>
        <v>22.356000000000009</v>
      </c>
      <c r="K158" s="268">
        <v>0.23</v>
      </c>
      <c r="L158" s="267">
        <f t="shared" si="90"/>
        <v>119.55600000000001</v>
      </c>
      <c r="M158" s="269"/>
      <c r="N158" s="269">
        <f t="shared" si="95"/>
        <v>2.4300000000000002</v>
      </c>
      <c r="O158" s="270">
        <f t="shared" si="96"/>
        <v>2.08</v>
      </c>
      <c r="P158" s="271">
        <v>3.2</v>
      </c>
      <c r="Q158" s="272" t="s">
        <v>2301</v>
      </c>
      <c r="R158" s="272" t="s">
        <v>1944</v>
      </c>
      <c r="S158" s="269"/>
      <c r="T158" s="269"/>
      <c r="U158" s="269"/>
      <c r="V158" s="269"/>
      <c r="W158" s="269"/>
      <c r="X158" s="219"/>
      <c r="Y158" s="337">
        <v>1.1399999999999999</v>
      </c>
      <c r="Z158" s="274">
        <f t="shared" si="97"/>
        <v>2.2821749999999996</v>
      </c>
      <c r="AC158" s="270">
        <f t="shared" si="98"/>
        <v>1.9844999999999999</v>
      </c>
      <c r="AD158" s="270">
        <v>3.15</v>
      </c>
      <c r="AE158" s="272" t="s">
        <v>2301</v>
      </c>
      <c r="AF158" s="272" t="s">
        <v>1944</v>
      </c>
      <c r="AN158" s="210">
        <f t="shared" si="84"/>
        <v>2.2880000000000003</v>
      </c>
      <c r="AO158" s="210">
        <f t="shared" si="85"/>
        <v>91.52000000000001</v>
      </c>
    </row>
    <row r="159" spans="2:41" ht="25.5">
      <c r="B159" s="264" t="s">
        <v>656</v>
      </c>
      <c r="C159" s="265" t="s">
        <v>2293</v>
      </c>
      <c r="D159" s="266" t="s">
        <v>2302</v>
      </c>
      <c r="E159" s="266">
        <v>250</v>
      </c>
      <c r="F159" s="265" t="s">
        <v>708</v>
      </c>
      <c r="G159" s="266">
        <v>80</v>
      </c>
      <c r="H159" s="267">
        <f t="shared" si="94"/>
        <v>2.66</v>
      </c>
      <c r="I159" s="267">
        <f t="shared" si="88"/>
        <v>212.8</v>
      </c>
      <c r="J159" s="267">
        <f t="shared" si="89"/>
        <v>48.944000000000017</v>
      </c>
      <c r="K159" s="268">
        <v>0.23</v>
      </c>
      <c r="L159" s="267">
        <f t="shared" si="90"/>
        <v>261.74400000000003</v>
      </c>
      <c r="M159" s="269"/>
      <c r="N159" s="269">
        <f t="shared" si="95"/>
        <v>2.66</v>
      </c>
      <c r="O159" s="270">
        <f t="shared" si="96"/>
        <v>2.2749999999999999</v>
      </c>
      <c r="P159" s="271">
        <v>3.5</v>
      </c>
      <c r="Q159" s="272" t="s">
        <v>2303</v>
      </c>
      <c r="R159" s="272" t="s">
        <v>1944</v>
      </c>
      <c r="S159" s="269"/>
      <c r="T159" s="269"/>
      <c r="U159" s="269"/>
      <c r="V159" s="269"/>
      <c r="W159" s="269"/>
      <c r="X159" s="219"/>
      <c r="Y159" s="337">
        <v>1.1399999999999999</v>
      </c>
      <c r="Z159" s="274">
        <f t="shared" si="97"/>
        <v>2.43432</v>
      </c>
      <c r="AC159" s="270">
        <f t="shared" si="98"/>
        <v>2.1168</v>
      </c>
      <c r="AD159" s="270">
        <v>3.36</v>
      </c>
      <c r="AE159" s="272" t="s">
        <v>2303</v>
      </c>
      <c r="AF159" s="272" t="s">
        <v>1944</v>
      </c>
      <c r="AN159" s="210">
        <f t="shared" si="84"/>
        <v>2.5024999999999999</v>
      </c>
      <c r="AO159" s="210">
        <f t="shared" si="85"/>
        <v>200.2</v>
      </c>
    </row>
    <row r="160" spans="2:41" ht="25.5">
      <c r="B160" s="264" t="s">
        <v>659</v>
      </c>
      <c r="C160" s="265" t="s">
        <v>2293</v>
      </c>
      <c r="D160" s="266" t="s">
        <v>2304</v>
      </c>
      <c r="E160" s="266">
        <v>400</v>
      </c>
      <c r="F160" s="265" t="s">
        <v>708</v>
      </c>
      <c r="G160" s="266">
        <v>80</v>
      </c>
      <c r="H160" s="267">
        <f t="shared" si="94"/>
        <v>3.27</v>
      </c>
      <c r="I160" s="267">
        <f t="shared" si="88"/>
        <v>261.60000000000002</v>
      </c>
      <c r="J160" s="267">
        <f t="shared" si="89"/>
        <v>60.168000000000006</v>
      </c>
      <c r="K160" s="268">
        <v>0.23</v>
      </c>
      <c r="L160" s="267">
        <f t="shared" si="90"/>
        <v>321.76800000000003</v>
      </c>
      <c r="M160" s="269"/>
      <c r="N160" s="269">
        <f t="shared" si="95"/>
        <v>3.27</v>
      </c>
      <c r="O160" s="270">
        <f t="shared" si="96"/>
        <v>2.7949999999999999</v>
      </c>
      <c r="P160" s="271">
        <v>4.3</v>
      </c>
      <c r="Q160" s="272" t="s">
        <v>2305</v>
      </c>
      <c r="R160" s="272" t="s">
        <v>1944</v>
      </c>
      <c r="S160" s="269"/>
      <c r="T160" s="269"/>
      <c r="U160" s="269"/>
      <c r="V160" s="269"/>
      <c r="W160" s="269"/>
      <c r="X160" s="219"/>
      <c r="Y160" s="337">
        <v>1.89</v>
      </c>
      <c r="Z160" s="274">
        <f t="shared" si="97"/>
        <v>2.9704499999999996</v>
      </c>
      <c r="AC160" s="270">
        <f t="shared" si="98"/>
        <v>2.5829999999999997</v>
      </c>
      <c r="AD160" s="270">
        <v>4.0999999999999996</v>
      </c>
      <c r="AE160" s="272" t="s">
        <v>2305</v>
      </c>
      <c r="AF160" s="272" t="s">
        <v>1944</v>
      </c>
      <c r="AN160" s="210">
        <f t="shared" si="84"/>
        <v>3.0745</v>
      </c>
      <c r="AO160" s="210">
        <f t="shared" si="85"/>
        <v>245.96</v>
      </c>
    </row>
    <row r="161" spans="2:41" ht="25.5">
      <c r="B161" s="264" t="s">
        <v>663</v>
      </c>
      <c r="C161" s="265" t="s">
        <v>2293</v>
      </c>
      <c r="D161" s="266" t="s">
        <v>2306</v>
      </c>
      <c r="E161" s="266">
        <v>600</v>
      </c>
      <c r="F161" s="265" t="s">
        <v>708</v>
      </c>
      <c r="G161" s="266">
        <v>80</v>
      </c>
      <c r="H161" s="267">
        <f t="shared" si="94"/>
        <v>3.95</v>
      </c>
      <c r="I161" s="267">
        <f t="shared" si="88"/>
        <v>316</v>
      </c>
      <c r="J161" s="267">
        <f t="shared" si="89"/>
        <v>72.680000000000007</v>
      </c>
      <c r="K161" s="268">
        <v>0.23</v>
      </c>
      <c r="L161" s="267">
        <f t="shared" si="90"/>
        <v>388.68</v>
      </c>
      <c r="M161" s="269"/>
      <c r="N161" s="269">
        <f t="shared" si="95"/>
        <v>3.95</v>
      </c>
      <c r="O161" s="270">
        <f t="shared" si="96"/>
        <v>3.3800000000000003</v>
      </c>
      <c r="P161" s="271">
        <v>5.2</v>
      </c>
      <c r="Q161" s="272" t="s">
        <v>2307</v>
      </c>
      <c r="R161" s="272" t="s">
        <v>1944</v>
      </c>
      <c r="S161" s="269"/>
      <c r="T161" s="269"/>
      <c r="U161" s="269"/>
      <c r="V161" s="269"/>
      <c r="W161" s="269"/>
      <c r="X161" s="219"/>
      <c r="Y161" s="337">
        <v>2.21</v>
      </c>
      <c r="Z161" s="274">
        <f t="shared" si="97"/>
        <v>3.5790299999999999</v>
      </c>
      <c r="AC161" s="270">
        <f t="shared" si="98"/>
        <v>3.1122000000000001</v>
      </c>
      <c r="AD161" s="270">
        <v>4.9400000000000004</v>
      </c>
      <c r="AE161" s="272" t="s">
        <v>2307</v>
      </c>
      <c r="AF161" s="272" t="s">
        <v>1944</v>
      </c>
      <c r="AN161" s="210">
        <f t="shared" si="84"/>
        <v>3.7180000000000009</v>
      </c>
      <c r="AO161" s="210">
        <f t="shared" si="85"/>
        <v>297.44000000000005</v>
      </c>
    </row>
    <row r="162" spans="2:41" ht="25.5">
      <c r="B162" s="264" t="s">
        <v>667</v>
      </c>
      <c r="C162" s="265" t="s">
        <v>2293</v>
      </c>
      <c r="D162" s="266" t="s">
        <v>2308</v>
      </c>
      <c r="E162" s="266">
        <v>800</v>
      </c>
      <c r="F162" s="265" t="s">
        <v>708</v>
      </c>
      <c r="G162" s="266">
        <v>50</v>
      </c>
      <c r="H162" s="267">
        <f t="shared" si="94"/>
        <v>5.48</v>
      </c>
      <c r="I162" s="267">
        <f t="shared" si="88"/>
        <v>274</v>
      </c>
      <c r="J162" s="267">
        <f t="shared" si="89"/>
        <v>63.019999999999982</v>
      </c>
      <c r="K162" s="268">
        <v>0.23</v>
      </c>
      <c r="L162" s="267">
        <f t="shared" si="90"/>
        <v>337.02</v>
      </c>
      <c r="M162" s="269"/>
      <c r="N162" s="269">
        <f t="shared" si="95"/>
        <v>5.48</v>
      </c>
      <c r="O162" s="270">
        <f t="shared" si="96"/>
        <v>4.6800000000000006</v>
      </c>
      <c r="P162" s="271">
        <v>7.2</v>
      </c>
      <c r="Q162" s="272" t="s">
        <v>2309</v>
      </c>
      <c r="R162" s="272" t="s">
        <v>1944</v>
      </c>
      <c r="S162" s="269"/>
      <c r="T162" s="269"/>
      <c r="U162" s="269"/>
      <c r="V162" s="269"/>
      <c r="W162" s="269"/>
      <c r="X162" s="219"/>
      <c r="Y162" s="337">
        <v>2.83</v>
      </c>
      <c r="Z162" s="274">
        <f t="shared" si="97"/>
        <v>5.0207849999999992</v>
      </c>
      <c r="AC162" s="270">
        <f t="shared" si="98"/>
        <v>4.3658999999999999</v>
      </c>
      <c r="AD162" s="270">
        <v>6.93</v>
      </c>
      <c r="AE162" s="272" t="s">
        <v>2309</v>
      </c>
      <c r="AF162" s="272" t="s">
        <v>1944</v>
      </c>
      <c r="AN162" s="210">
        <f t="shared" si="84"/>
        <v>5.1480000000000015</v>
      </c>
      <c r="AO162" s="210">
        <f t="shared" si="85"/>
        <v>257.40000000000009</v>
      </c>
    </row>
    <row r="163" spans="2:41" ht="25.5">
      <c r="B163" s="264" t="s">
        <v>669</v>
      </c>
      <c r="C163" s="265" t="s">
        <v>2293</v>
      </c>
      <c r="D163" s="266" t="s">
        <v>2310</v>
      </c>
      <c r="E163" s="266">
        <v>1000</v>
      </c>
      <c r="F163" s="265" t="s">
        <v>708</v>
      </c>
      <c r="G163" s="266">
        <v>30</v>
      </c>
      <c r="H163" s="267">
        <f t="shared" si="94"/>
        <v>6.02</v>
      </c>
      <c r="I163" s="267">
        <f t="shared" si="88"/>
        <v>180.6</v>
      </c>
      <c r="J163" s="267">
        <f t="shared" si="89"/>
        <v>41.538000000000011</v>
      </c>
      <c r="K163" s="268">
        <v>0.23</v>
      </c>
      <c r="L163" s="267">
        <f t="shared" si="90"/>
        <v>222.13800000000001</v>
      </c>
      <c r="M163" s="269"/>
      <c r="N163" s="269">
        <f>ROUND(O163*1.15,2)</f>
        <v>6.02</v>
      </c>
      <c r="O163" s="270">
        <f t="shared" si="96"/>
        <v>5.2325000000000008</v>
      </c>
      <c r="P163" s="271">
        <v>8.0500000000000007</v>
      </c>
      <c r="Q163" s="272" t="s">
        <v>2311</v>
      </c>
      <c r="R163" s="272" t="s">
        <v>1944</v>
      </c>
      <c r="S163" s="269"/>
      <c r="T163" s="269"/>
      <c r="U163" s="269"/>
      <c r="V163" s="269"/>
      <c r="W163" s="269"/>
      <c r="X163" s="219"/>
      <c r="Y163" s="337">
        <v>4.03</v>
      </c>
      <c r="Z163" s="274">
        <f t="shared" si="97"/>
        <v>5.8322250000000002</v>
      </c>
      <c r="AC163" s="270">
        <f t="shared" si="98"/>
        <v>5.0715000000000003</v>
      </c>
      <c r="AD163" s="270">
        <v>8.0500000000000007</v>
      </c>
      <c r="AE163" s="272" t="s">
        <v>2311</v>
      </c>
      <c r="AF163" s="272" t="s">
        <v>1944</v>
      </c>
      <c r="AN163" s="210">
        <f t="shared" si="84"/>
        <v>5.7557500000000017</v>
      </c>
      <c r="AO163" s="210">
        <f t="shared" si="85"/>
        <v>172.67250000000004</v>
      </c>
    </row>
    <row r="164" spans="2:41" ht="25.5">
      <c r="B164" s="264" t="s">
        <v>673</v>
      </c>
      <c r="C164" s="265" t="s">
        <v>2293</v>
      </c>
      <c r="D164" s="266" t="s">
        <v>2312</v>
      </c>
      <c r="E164" s="266">
        <v>2000</v>
      </c>
      <c r="F164" s="265" t="s">
        <v>708</v>
      </c>
      <c r="G164" s="266">
        <v>10</v>
      </c>
      <c r="H164" s="267">
        <f t="shared" si="94"/>
        <v>16.59</v>
      </c>
      <c r="I164" s="267">
        <f t="shared" si="88"/>
        <v>165.9</v>
      </c>
      <c r="J164" s="267">
        <f t="shared" si="89"/>
        <v>38.157000000000011</v>
      </c>
      <c r="K164" s="268">
        <v>0.23</v>
      </c>
      <c r="L164" s="267">
        <f t="shared" si="90"/>
        <v>204.05700000000002</v>
      </c>
      <c r="M164" s="269"/>
      <c r="N164" s="269">
        <f>ROUND(O164*1.11,2)</f>
        <v>16.59</v>
      </c>
      <c r="O164" s="270">
        <f t="shared" si="96"/>
        <v>14.950000000000001</v>
      </c>
      <c r="P164" s="271">
        <v>23</v>
      </c>
      <c r="Q164" s="272" t="s">
        <v>2313</v>
      </c>
      <c r="R164" s="272" t="s">
        <v>1944</v>
      </c>
      <c r="S164" s="269"/>
      <c r="T164" s="269"/>
      <c r="U164" s="269"/>
      <c r="V164" s="269"/>
      <c r="W164" s="269"/>
      <c r="X164" s="219"/>
      <c r="Y164" s="337">
        <v>8.74</v>
      </c>
      <c r="Z164" s="274">
        <f>AC164*1.15</f>
        <v>11.959999999999999</v>
      </c>
      <c r="AC164" s="271">
        <v>10.4</v>
      </c>
      <c r="AD164" s="270">
        <v>23</v>
      </c>
      <c r="AE164" s="272" t="s">
        <v>2314</v>
      </c>
      <c r="AF164" s="272" t="s">
        <v>2315</v>
      </c>
      <c r="AH164" s="272" t="s">
        <v>2315</v>
      </c>
      <c r="AI164" s="270">
        <v>10.4</v>
      </c>
      <c r="AJ164" s="272" t="s">
        <v>2314</v>
      </c>
      <c r="AN164" s="210">
        <f t="shared" si="84"/>
        <v>16.445000000000004</v>
      </c>
      <c r="AO164" s="210">
        <f t="shared" si="85"/>
        <v>164.45000000000005</v>
      </c>
    </row>
    <row r="165" spans="2:41" ht="25.5">
      <c r="B165" s="264" t="s">
        <v>677</v>
      </c>
      <c r="C165" s="265" t="s">
        <v>2293</v>
      </c>
      <c r="D165" s="266" t="s">
        <v>2316</v>
      </c>
      <c r="E165" s="266">
        <v>3000</v>
      </c>
      <c r="F165" s="265" t="s">
        <v>708</v>
      </c>
      <c r="G165" s="266">
        <v>10</v>
      </c>
      <c r="H165" s="267">
        <f t="shared" si="94"/>
        <v>23.6</v>
      </c>
      <c r="I165" s="267">
        <f t="shared" si="88"/>
        <v>236</v>
      </c>
      <c r="J165" s="267">
        <f t="shared" si="89"/>
        <v>54.279999999999973</v>
      </c>
      <c r="K165" s="268">
        <v>0.23</v>
      </c>
      <c r="L165" s="267">
        <f t="shared" si="90"/>
        <v>290.27999999999997</v>
      </c>
      <c r="M165" s="269"/>
      <c r="N165" s="269">
        <f>ROUND(O165*1.1,2)</f>
        <v>23.6</v>
      </c>
      <c r="O165" s="270">
        <f t="shared" si="96"/>
        <v>21.45</v>
      </c>
      <c r="P165" s="271">
        <v>33</v>
      </c>
      <c r="Q165" s="272" t="s">
        <v>2317</v>
      </c>
      <c r="R165" s="272" t="s">
        <v>1944</v>
      </c>
      <c r="S165" s="269"/>
      <c r="T165" s="269"/>
      <c r="U165" s="269"/>
      <c r="V165" s="269"/>
      <c r="W165" s="269"/>
      <c r="X165" s="219"/>
      <c r="Y165" s="337">
        <v>14.43</v>
      </c>
      <c r="Z165" s="274">
        <f>AC165*1.15</f>
        <v>19.434999999999995</v>
      </c>
      <c r="AC165" s="271">
        <v>16.899999999999999</v>
      </c>
      <c r="AD165" s="270">
        <v>33</v>
      </c>
      <c r="AE165" s="272" t="s">
        <v>2318</v>
      </c>
      <c r="AF165" s="272" t="s">
        <v>2315</v>
      </c>
      <c r="AH165" s="272" t="s">
        <v>2315</v>
      </c>
      <c r="AI165" s="270">
        <v>16.899999999999999</v>
      </c>
      <c r="AJ165" s="272" t="s">
        <v>2318</v>
      </c>
      <c r="AN165" s="210">
        <f t="shared" si="84"/>
        <v>23.595000000000002</v>
      </c>
      <c r="AO165" s="210">
        <f t="shared" si="85"/>
        <v>235.95000000000002</v>
      </c>
    </row>
    <row r="166" spans="2:41" ht="25.5">
      <c r="B166" s="264" t="s">
        <v>681</v>
      </c>
      <c r="C166" s="265" t="s">
        <v>2293</v>
      </c>
      <c r="D166" s="266" t="s">
        <v>2319</v>
      </c>
      <c r="E166" s="266">
        <v>5000</v>
      </c>
      <c r="F166" s="265" t="s">
        <v>708</v>
      </c>
      <c r="G166" s="266">
        <v>10</v>
      </c>
      <c r="H166" s="267">
        <f t="shared" si="94"/>
        <v>34.32</v>
      </c>
      <c r="I166" s="267">
        <f t="shared" si="88"/>
        <v>343.2</v>
      </c>
      <c r="J166" s="267">
        <f t="shared" si="89"/>
        <v>78.935999999999979</v>
      </c>
      <c r="K166" s="268">
        <v>0.23</v>
      </c>
      <c r="L166" s="267">
        <f t="shared" si="90"/>
        <v>422.13599999999997</v>
      </c>
      <c r="M166" s="269"/>
      <c r="N166" s="269">
        <f>ROUND(O166*1.1,2)</f>
        <v>34.32</v>
      </c>
      <c r="O166" s="270">
        <f t="shared" si="96"/>
        <v>31.200000000000003</v>
      </c>
      <c r="P166" s="271">
        <v>48</v>
      </c>
      <c r="Q166" s="272" t="s">
        <v>2320</v>
      </c>
      <c r="R166" s="272" t="s">
        <v>1944</v>
      </c>
      <c r="S166" s="269"/>
      <c r="T166" s="269"/>
      <c r="U166" s="269"/>
      <c r="V166" s="269"/>
      <c r="W166" s="269"/>
      <c r="X166" s="219"/>
      <c r="Y166" s="337">
        <v>24.31</v>
      </c>
      <c r="Z166" s="274">
        <f>AC166*1.15</f>
        <v>32.602499999999999</v>
      </c>
      <c r="AC166" s="270">
        <f t="shared" si="98"/>
        <v>28.35</v>
      </c>
      <c r="AD166" s="270">
        <v>45</v>
      </c>
      <c r="AE166" s="272" t="s">
        <v>2320</v>
      </c>
      <c r="AF166" s="272" t="s">
        <v>1944</v>
      </c>
      <c r="AN166" s="210">
        <f t="shared" si="84"/>
        <v>34.320000000000007</v>
      </c>
      <c r="AO166" s="210">
        <f t="shared" si="85"/>
        <v>343.20000000000005</v>
      </c>
    </row>
    <row r="167" spans="2:41" ht="25.5">
      <c r="B167" s="264" t="s">
        <v>686</v>
      </c>
      <c r="C167" s="265" t="s">
        <v>2321</v>
      </c>
      <c r="D167" s="266" t="s">
        <v>2322</v>
      </c>
      <c r="E167" s="266">
        <v>400</v>
      </c>
      <c r="F167" s="265" t="s">
        <v>708</v>
      </c>
      <c r="G167" s="266">
        <v>20</v>
      </c>
      <c r="H167" s="267">
        <f t="shared" si="94"/>
        <v>3.69</v>
      </c>
      <c r="I167" s="267">
        <f t="shared" si="88"/>
        <v>73.8</v>
      </c>
      <c r="J167" s="267">
        <f t="shared" si="89"/>
        <v>16.974000000000004</v>
      </c>
      <c r="K167" s="268">
        <v>0.23</v>
      </c>
      <c r="L167" s="267">
        <f t="shared" si="90"/>
        <v>90.774000000000001</v>
      </c>
      <c r="M167" s="269"/>
      <c r="N167" s="269">
        <f t="shared" si="92"/>
        <v>3.69</v>
      </c>
      <c r="O167" s="270">
        <f t="shared" si="96"/>
        <v>3.1524999999999999</v>
      </c>
      <c r="P167" s="271">
        <v>4.8499999999999996</v>
      </c>
      <c r="Q167" s="272" t="s">
        <v>2323</v>
      </c>
      <c r="R167" s="272" t="s">
        <v>1944</v>
      </c>
      <c r="S167" s="269"/>
      <c r="T167" s="269"/>
      <c r="U167" s="269"/>
      <c r="V167" s="269"/>
      <c r="W167" s="269"/>
      <c r="X167" s="219"/>
      <c r="Y167" s="337">
        <v>2.2799999999999998</v>
      </c>
      <c r="Z167" s="274">
        <f t="shared" ref="Z167:Z169" si="99">AC167*1.15</f>
        <v>3.2385149999999996</v>
      </c>
      <c r="AC167" s="270">
        <f t="shared" si="98"/>
        <v>2.8161</v>
      </c>
      <c r="AD167" s="270">
        <v>4.47</v>
      </c>
      <c r="AE167" s="272" t="s">
        <v>2323</v>
      </c>
      <c r="AF167" s="272" t="s">
        <v>1944</v>
      </c>
      <c r="AN167" s="210">
        <f t="shared" si="84"/>
        <v>3.4677500000000001</v>
      </c>
      <c r="AO167" s="210">
        <f t="shared" si="85"/>
        <v>69.355000000000004</v>
      </c>
    </row>
    <row r="168" spans="2:41" ht="25.5">
      <c r="B168" s="264" t="s">
        <v>690</v>
      </c>
      <c r="C168" s="265" t="s">
        <v>2321</v>
      </c>
      <c r="D168" s="266" t="s">
        <v>2324</v>
      </c>
      <c r="E168" s="266">
        <v>600</v>
      </c>
      <c r="F168" s="265" t="s">
        <v>708</v>
      </c>
      <c r="G168" s="266">
        <v>20</v>
      </c>
      <c r="H168" s="267">
        <f t="shared" si="94"/>
        <v>4.72</v>
      </c>
      <c r="I168" s="267">
        <f t="shared" si="88"/>
        <v>94.399999999999991</v>
      </c>
      <c r="J168" s="267">
        <f t="shared" si="89"/>
        <v>21.712000000000003</v>
      </c>
      <c r="K168" s="268">
        <v>0.23</v>
      </c>
      <c r="L168" s="267">
        <f t="shared" si="90"/>
        <v>116.11199999999999</v>
      </c>
      <c r="M168" s="269"/>
      <c r="N168" s="269">
        <f t="shared" si="92"/>
        <v>4.72</v>
      </c>
      <c r="O168" s="270">
        <f t="shared" si="96"/>
        <v>4.03</v>
      </c>
      <c r="P168" s="271">
        <v>6.2</v>
      </c>
      <c r="Q168" s="272" t="s">
        <v>2325</v>
      </c>
      <c r="R168" s="272" t="s">
        <v>1944</v>
      </c>
      <c r="S168" s="269"/>
      <c r="T168" s="269"/>
      <c r="U168" s="269"/>
      <c r="V168" s="269"/>
      <c r="W168" s="269"/>
      <c r="X168" s="219"/>
      <c r="Y168" s="337">
        <v>3.37</v>
      </c>
      <c r="Z168" s="274">
        <f t="shared" si="99"/>
        <v>4.4194499999999994</v>
      </c>
      <c r="AC168" s="270">
        <f t="shared" si="98"/>
        <v>3.843</v>
      </c>
      <c r="AD168" s="270">
        <v>6.1</v>
      </c>
      <c r="AE168" s="272" t="s">
        <v>2325</v>
      </c>
      <c r="AF168" s="272" t="s">
        <v>1944</v>
      </c>
      <c r="AN168" s="210">
        <f t="shared" si="84"/>
        <v>4.4330000000000007</v>
      </c>
      <c r="AO168" s="210">
        <f t="shared" si="85"/>
        <v>88.660000000000011</v>
      </c>
    </row>
    <row r="169" spans="2:41" ht="25.5">
      <c r="B169" s="264" t="s">
        <v>692</v>
      </c>
      <c r="C169" s="265" t="s">
        <v>2321</v>
      </c>
      <c r="D169" s="266" t="s">
        <v>2326</v>
      </c>
      <c r="E169" s="266">
        <v>800</v>
      </c>
      <c r="F169" s="265" t="s">
        <v>708</v>
      </c>
      <c r="G169" s="266">
        <v>20</v>
      </c>
      <c r="H169" s="267">
        <f t="shared" si="94"/>
        <v>5.75</v>
      </c>
      <c r="I169" s="267">
        <f t="shared" si="88"/>
        <v>115</v>
      </c>
      <c r="J169" s="267">
        <f t="shared" si="89"/>
        <v>26.449999999999989</v>
      </c>
      <c r="K169" s="268">
        <v>0.23</v>
      </c>
      <c r="L169" s="267">
        <f t="shared" si="90"/>
        <v>141.44999999999999</v>
      </c>
      <c r="M169" s="269"/>
      <c r="N169" s="269">
        <f>ROUND(O169*1.12,2)</f>
        <v>5.75</v>
      </c>
      <c r="O169" s="270">
        <f t="shared" si="96"/>
        <v>5.1350000000000007</v>
      </c>
      <c r="P169" s="271">
        <v>7.9</v>
      </c>
      <c r="Q169" s="272" t="s">
        <v>2327</v>
      </c>
      <c r="R169" s="272" t="s">
        <v>1944</v>
      </c>
      <c r="S169" s="269"/>
      <c r="T169" s="269"/>
      <c r="U169" s="269"/>
      <c r="V169" s="269"/>
      <c r="W169" s="269"/>
      <c r="X169" s="219"/>
      <c r="Y169" s="337">
        <v>4.34</v>
      </c>
      <c r="Z169" s="274">
        <f t="shared" si="99"/>
        <v>5.7235500000000004</v>
      </c>
      <c r="AC169" s="270">
        <f t="shared" si="98"/>
        <v>4.9770000000000003</v>
      </c>
      <c r="AD169" s="270">
        <v>7.9</v>
      </c>
      <c r="AE169" s="272" t="s">
        <v>2327</v>
      </c>
      <c r="AF169" s="272" t="s">
        <v>1944</v>
      </c>
      <c r="AN169" s="210">
        <f t="shared" si="84"/>
        <v>5.6485000000000012</v>
      </c>
      <c r="AO169" s="210">
        <f t="shared" si="85"/>
        <v>112.97000000000003</v>
      </c>
    </row>
    <row r="170" spans="2:41" ht="25.5">
      <c r="B170" s="264" t="s">
        <v>695</v>
      </c>
      <c r="C170" s="265" t="s">
        <v>2321</v>
      </c>
      <c r="D170" s="266" t="s">
        <v>2328</v>
      </c>
      <c r="E170" s="266">
        <v>1000</v>
      </c>
      <c r="F170" s="265" t="s">
        <v>708</v>
      </c>
      <c r="G170" s="266">
        <v>20</v>
      </c>
      <c r="H170" s="267">
        <f t="shared" si="94"/>
        <v>7.99</v>
      </c>
      <c r="I170" s="267">
        <f t="shared" si="88"/>
        <v>159.80000000000001</v>
      </c>
      <c r="J170" s="267">
        <f t="shared" si="89"/>
        <v>36.754000000000019</v>
      </c>
      <c r="K170" s="268">
        <v>0.23</v>
      </c>
      <c r="L170" s="267">
        <f t="shared" si="90"/>
        <v>196.55400000000003</v>
      </c>
      <c r="M170" s="269"/>
      <c r="N170" s="269">
        <f t="shared" si="92"/>
        <v>7.99</v>
      </c>
      <c r="O170" s="270">
        <f t="shared" si="96"/>
        <v>6.8250000000000002</v>
      </c>
      <c r="P170" s="271">
        <v>10.5</v>
      </c>
      <c r="Q170" s="272" t="s">
        <v>2329</v>
      </c>
      <c r="R170" s="272" t="s">
        <v>1944</v>
      </c>
      <c r="S170" s="269"/>
      <c r="T170" s="269"/>
      <c r="U170" s="269"/>
      <c r="V170" s="269"/>
      <c r="W170" s="269"/>
      <c r="X170" s="219"/>
      <c r="Y170" s="337">
        <v>4.76</v>
      </c>
      <c r="Z170" s="274">
        <f>AC170*1.15</f>
        <v>6.3594999999999997</v>
      </c>
      <c r="AC170" s="271">
        <v>5.53</v>
      </c>
      <c r="AD170" s="270">
        <v>10.5</v>
      </c>
      <c r="AE170" s="272" t="s">
        <v>2330</v>
      </c>
      <c r="AF170" s="272" t="s">
        <v>2315</v>
      </c>
      <c r="AH170" s="272" t="s">
        <v>2315</v>
      </c>
      <c r="AI170" s="272">
        <v>5.53</v>
      </c>
      <c r="AJ170" s="272" t="s">
        <v>2330</v>
      </c>
      <c r="AN170" s="210">
        <f t="shared" si="84"/>
        <v>7.5075000000000012</v>
      </c>
      <c r="AO170" s="210">
        <f t="shared" si="85"/>
        <v>150.15000000000003</v>
      </c>
    </row>
    <row r="171" spans="2:41" ht="25.5">
      <c r="B171" s="264" t="s">
        <v>698</v>
      </c>
      <c r="C171" s="265" t="s">
        <v>2321</v>
      </c>
      <c r="D171" s="266" t="s">
        <v>2331</v>
      </c>
      <c r="E171" s="266">
        <v>2000</v>
      </c>
      <c r="F171" s="265" t="s">
        <v>708</v>
      </c>
      <c r="G171" s="266">
        <v>30</v>
      </c>
      <c r="H171" s="267">
        <f t="shared" si="94"/>
        <v>16.45</v>
      </c>
      <c r="I171" s="267">
        <f t="shared" si="88"/>
        <v>493.5</v>
      </c>
      <c r="J171" s="267">
        <f t="shared" si="89"/>
        <v>113.505</v>
      </c>
      <c r="K171" s="268">
        <v>0.23</v>
      </c>
      <c r="L171" s="267">
        <f t="shared" si="90"/>
        <v>607.005</v>
      </c>
      <c r="M171" s="269"/>
      <c r="N171" s="269">
        <f>ROUND(O171*1.1,2)</f>
        <v>16.45</v>
      </c>
      <c r="O171" s="270">
        <f t="shared" si="96"/>
        <v>14.950000000000001</v>
      </c>
      <c r="P171" s="271">
        <v>23</v>
      </c>
      <c r="Q171" s="272" t="s">
        <v>2332</v>
      </c>
      <c r="R171" s="272" t="s">
        <v>1944</v>
      </c>
      <c r="S171" s="269"/>
      <c r="T171" s="269"/>
      <c r="U171" s="269"/>
      <c r="V171" s="269"/>
      <c r="W171" s="269"/>
      <c r="X171" s="219"/>
      <c r="Y171" s="337">
        <v>9.8000000000000007</v>
      </c>
      <c r="Z171" s="274">
        <f>AC171*1.15</f>
        <v>14.202499999999999</v>
      </c>
      <c r="AC171" s="271">
        <v>12.35</v>
      </c>
      <c r="AD171" s="270">
        <v>21</v>
      </c>
      <c r="AE171" s="272" t="s">
        <v>2333</v>
      </c>
      <c r="AF171" s="272" t="s">
        <v>2315</v>
      </c>
      <c r="AH171" s="272" t="s">
        <v>2315</v>
      </c>
      <c r="AI171" s="272">
        <v>12.35</v>
      </c>
      <c r="AJ171" s="272" t="s">
        <v>2333</v>
      </c>
      <c r="AN171" s="210">
        <f t="shared" si="84"/>
        <v>16.445000000000004</v>
      </c>
      <c r="AO171" s="210">
        <f t="shared" si="85"/>
        <v>493.35000000000014</v>
      </c>
    </row>
    <row r="172" spans="2:41" ht="15.75">
      <c r="B172" s="264" t="s">
        <v>702</v>
      </c>
      <c r="C172" s="265" t="s">
        <v>2334</v>
      </c>
      <c r="D172" s="266" t="s">
        <v>2335</v>
      </c>
      <c r="E172" s="266">
        <v>100</v>
      </c>
      <c r="F172" s="265" t="s">
        <v>708</v>
      </c>
      <c r="G172" s="266">
        <v>50</v>
      </c>
      <c r="H172" s="267">
        <f t="shared" si="94"/>
        <v>6.09</v>
      </c>
      <c r="I172" s="267">
        <f t="shared" si="88"/>
        <v>304.5</v>
      </c>
      <c r="J172" s="267">
        <f t="shared" si="89"/>
        <v>70.034999999999968</v>
      </c>
      <c r="K172" s="268">
        <v>0.23</v>
      </c>
      <c r="L172" s="267">
        <f t="shared" si="90"/>
        <v>374.53499999999997</v>
      </c>
      <c r="M172" s="269"/>
      <c r="N172" s="269">
        <f>ROUND(O172*1.15,2)</f>
        <v>6.09</v>
      </c>
      <c r="O172" s="270">
        <f t="shared" si="96"/>
        <v>5.2975000000000003</v>
      </c>
      <c r="P172" s="271">
        <v>8.15</v>
      </c>
      <c r="Q172" s="272" t="s">
        <v>2336</v>
      </c>
      <c r="R172" s="272" t="s">
        <v>1944</v>
      </c>
      <c r="S172" s="269"/>
      <c r="T172" s="269"/>
      <c r="U172" s="269"/>
      <c r="V172" s="269"/>
      <c r="W172" s="269"/>
      <c r="X172" s="219"/>
      <c r="Y172" s="337">
        <v>8.51</v>
      </c>
      <c r="Z172" s="274">
        <f>AC172*1.15</f>
        <v>5.3612999999999991</v>
      </c>
      <c r="AC172" s="395">
        <f t="shared" si="98"/>
        <v>4.6619999999999999</v>
      </c>
      <c r="AD172" s="270">
        <v>7.4</v>
      </c>
      <c r="AE172" s="272" t="s">
        <v>2336</v>
      </c>
      <c r="AF172" s="272" t="s">
        <v>1944</v>
      </c>
      <c r="AN172" s="210">
        <f t="shared" si="84"/>
        <v>5.8272500000000012</v>
      </c>
      <c r="AO172" s="210">
        <f t="shared" si="85"/>
        <v>291.36250000000007</v>
      </c>
    </row>
    <row r="173" spans="2:41" ht="15.75">
      <c r="B173" s="264" t="s">
        <v>706</v>
      </c>
      <c r="C173" s="265" t="s">
        <v>2334</v>
      </c>
      <c r="D173" s="266" t="s">
        <v>2337</v>
      </c>
      <c r="E173" s="266">
        <v>250</v>
      </c>
      <c r="F173" s="265" t="s">
        <v>708</v>
      </c>
      <c r="G173" s="266">
        <v>50</v>
      </c>
      <c r="H173" s="267">
        <f t="shared" si="94"/>
        <v>7.25</v>
      </c>
      <c r="I173" s="267">
        <f t="shared" si="88"/>
        <v>362.5</v>
      </c>
      <c r="J173" s="267">
        <f t="shared" si="89"/>
        <v>83.375</v>
      </c>
      <c r="K173" s="268">
        <v>0.23</v>
      </c>
      <c r="L173" s="267">
        <f t="shared" si="90"/>
        <v>445.875</v>
      </c>
      <c r="M173" s="269"/>
      <c r="N173" s="269">
        <f t="shared" ref="N173:N175" si="100">ROUND(O173*1.15,2)</f>
        <v>7.25</v>
      </c>
      <c r="O173" s="270">
        <f t="shared" si="96"/>
        <v>6.3049999999999997</v>
      </c>
      <c r="P173" s="271">
        <v>9.6999999999999993</v>
      </c>
      <c r="Q173" s="272" t="s">
        <v>2338</v>
      </c>
      <c r="R173" s="272" t="s">
        <v>1944</v>
      </c>
      <c r="S173" s="269"/>
      <c r="T173" s="269"/>
      <c r="U173" s="269"/>
      <c r="V173" s="269"/>
      <c r="W173" s="269"/>
      <c r="X173" s="219"/>
      <c r="Y173" s="337">
        <v>10.119999999999999</v>
      </c>
      <c r="Z173" s="274">
        <f t="shared" ref="Z173:Z176" si="101">AC173*1.15</f>
        <v>6.3756000000000004</v>
      </c>
      <c r="AC173" s="395">
        <f t="shared" si="98"/>
        <v>5.5440000000000005</v>
      </c>
      <c r="AD173" s="270">
        <v>8.8000000000000007</v>
      </c>
      <c r="AE173" s="272" t="s">
        <v>2338</v>
      </c>
      <c r="AF173" s="272" t="s">
        <v>1944</v>
      </c>
      <c r="AN173" s="210">
        <f t="shared" si="84"/>
        <v>6.9355000000000002</v>
      </c>
      <c r="AO173" s="210">
        <f t="shared" si="85"/>
        <v>346.77500000000003</v>
      </c>
    </row>
    <row r="174" spans="2:41" ht="15.75">
      <c r="B174" s="264" t="s">
        <v>713</v>
      </c>
      <c r="C174" s="265" t="s">
        <v>2334</v>
      </c>
      <c r="D174" s="266" t="s">
        <v>2339</v>
      </c>
      <c r="E174" s="266">
        <v>500</v>
      </c>
      <c r="F174" s="265" t="s">
        <v>708</v>
      </c>
      <c r="G174" s="266">
        <v>50</v>
      </c>
      <c r="H174" s="267">
        <f t="shared" si="94"/>
        <v>10.84</v>
      </c>
      <c r="I174" s="267">
        <f t="shared" si="88"/>
        <v>542</v>
      </c>
      <c r="J174" s="267">
        <f t="shared" si="89"/>
        <v>124.65999999999997</v>
      </c>
      <c r="K174" s="268">
        <v>0.23</v>
      </c>
      <c r="L174" s="267">
        <f t="shared" si="90"/>
        <v>666.66</v>
      </c>
      <c r="M174" s="269"/>
      <c r="N174" s="269">
        <f t="shared" si="100"/>
        <v>10.84</v>
      </c>
      <c r="O174" s="270">
        <f t="shared" si="96"/>
        <v>9.4250000000000007</v>
      </c>
      <c r="P174" s="271">
        <v>14.5</v>
      </c>
      <c r="Q174" s="272" t="s">
        <v>2340</v>
      </c>
      <c r="R174" s="272" t="s">
        <v>1944</v>
      </c>
      <c r="S174" s="269"/>
      <c r="T174" s="269"/>
      <c r="U174" s="269"/>
      <c r="V174" s="269"/>
      <c r="W174" s="269"/>
      <c r="X174" s="219"/>
      <c r="Y174" s="337">
        <v>15.18</v>
      </c>
      <c r="Z174" s="274">
        <f t="shared" si="101"/>
        <v>9.5633999999999979</v>
      </c>
      <c r="AC174" s="395">
        <f t="shared" si="98"/>
        <v>8.3159999999999989</v>
      </c>
      <c r="AD174" s="270">
        <v>13.2</v>
      </c>
      <c r="AE174" s="272" t="s">
        <v>2340</v>
      </c>
      <c r="AF174" s="272" t="s">
        <v>1944</v>
      </c>
      <c r="AN174" s="210">
        <f t="shared" si="84"/>
        <v>10.367500000000001</v>
      </c>
      <c r="AO174" s="210">
        <f t="shared" si="85"/>
        <v>518.37500000000011</v>
      </c>
    </row>
    <row r="175" spans="2:41" ht="15.75">
      <c r="B175" s="264" t="s">
        <v>717</v>
      </c>
      <c r="C175" s="265" t="s">
        <v>2334</v>
      </c>
      <c r="D175" s="266" t="s">
        <v>2341</v>
      </c>
      <c r="E175" s="266">
        <v>1000</v>
      </c>
      <c r="F175" s="265" t="s">
        <v>708</v>
      </c>
      <c r="G175" s="266">
        <v>20</v>
      </c>
      <c r="H175" s="267">
        <f t="shared" si="94"/>
        <v>15.4</v>
      </c>
      <c r="I175" s="267">
        <f t="shared" si="88"/>
        <v>308</v>
      </c>
      <c r="J175" s="267">
        <f t="shared" si="89"/>
        <v>70.840000000000032</v>
      </c>
      <c r="K175" s="268">
        <v>0.23</v>
      </c>
      <c r="L175" s="267">
        <f t="shared" si="90"/>
        <v>378.84000000000003</v>
      </c>
      <c r="M175" s="269"/>
      <c r="N175" s="269">
        <f t="shared" si="100"/>
        <v>15.4</v>
      </c>
      <c r="O175" s="270">
        <f t="shared" si="96"/>
        <v>13.39</v>
      </c>
      <c r="P175" s="271">
        <v>20.6</v>
      </c>
      <c r="Q175" s="272" t="s">
        <v>2342</v>
      </c>
      <c r="R175" s="272" t="s">
        <v>1944</v>
      </c>
      <c r="S175" s="269"/>
      <c r="T175" s="269"/>
      <c r="U175" s="269"/>
      <c r="V175" s="269"/>
      <c r="W175" s="269"/>
      <c r="X175" s="219"/>
      <c r="Y175" s="337">
        <v>21.51</v>
      </c>
      <c r="Z175" s="274">
        <f t="shared" si="101"/>
        <v>13.548149999999998</v>
      </c>
      <c r="AC175" s="395">
        <f t="shared" si="98"/>
        <v>11.780999999999999</v>
      </c>
      <c r="AD175" s="270">
        <v>18.7</v>
      </c>
      <c r="AE175" s="272" t="s">
        <v>2342</v>
      </c>
      <c r="AF175" s="272" t="s">
        <v>1944</v>
      </c>
      <c r="AN175" s="210">
        <f t="shared" si="84"/>
        <v>14.729000000000001</v>
      </c>
      <c r="AO175" s="210">
        <f t="shared" si="85"/>
        <v>294.58000000000004</v>
      </c>
    </row>
    <row r="176" spans="2:41" ht="15.75">
      <c r="B176" s="264" t="s">
        <v>721</v>
      </c>
      <c r="C176" s="265" t="s">
        <v>2343</v>
      </c>
      <c r="D176" s="266" t="s">
        <v>2344</v>
      </c>
      <c r="E176" s="266">
        <v>100</v>
      </c>
      <c r="F176" s="265" t="s">
        <v>708</v>
      </c>
      <c r="G176" s="266">
        <v>20</v>
      </c>
      <c r="H176" s="267">
        <f t="shared" si="94"/>
        <v>4.5599999999999996</v>
      </c>
      <c r="I176" s="267">
        <f t="shared" si="88"/>
        <v>91.199999999999989</v>
      </c>
      <c r="J176" s="267">
        <f t="shared" si="89"/>
        <v>20.975999999999999</v>
      </c>
      <c r="K176" s="268">
        <v>0.23</v>
      </c>
      <c r="L176" s="267">
        <f t="shared" si="90"/>
        <v>112.17599999999999</v>
      </c>
      <c r="M176" s="269"/>
      <c r="N176" s="269">
        <f>ROUND(O176*1.15,2)</f>
        <v>4.5599999999999996</v>
      </c>
      <c r="O176" s="270">
        <f t="shared" si="96"/>
        <v>3.9649999999999999</v>
      </c>
      <c r="P176" s="271">
        <v>6.1</v>
      </c>
      <c r="Q176" s="272" t="s">
        <v>2345</v>
      </c>
      <c r="R176" s="272" t="s">
        <v>1944</v>
      </c>
      <c r="S176" s="269"/>
      <c r="T176" s="269"/>
      <c r="U176" s="269"/>
      <c r="V176" s="269"/>
      <c r="W176" s="269"/>
      <c r="X176" s="219"/>
      <c r="Y176" s="337">
        <v>2.38</v>
      </c>
      <c r="Z176" s="274">
        <f t="shared" si="101"/>
        <v>3.9847499999999996</v>
      </c>
      <c r="AC176" s="395">
        <f t="shared" si="98"/>
        <v>3.4649999999999999</v>
      </c>
      <c r="AD176" s="270">
        <v>5.5</v>
      </c>
      <c r="AE176" s="272" t="s">
        <v>2345</v>
      </c>
      <c r="AF176" s="272" t="s">
        <v>1944</v>
      </c>
      <c r="AN176" s="210">
        <f t="shared" si="84"/>
        <v>4.3615000000000004</v>
      </c>
      <c r="AO176" s="210">
        <f t="shared" si="85"/>
        <v>87.23</v>
      </c>
    </row>
    <row r="177" spans="2:41" ht="25.5">
      <c r="B177" s="264" t="s">
        <v>724</v>
      </c>
      <c r="C177" s="265" t="s">
        <v>2346</v>
      </c>
      <c r="D177" s="266" t="s">
        <v>2347</v>
      </c>
      <c r="E177" s="266">
        <v>10</v>
      </c>
      <c r="F177" s="265" t="s">
        <v>1624</v>
      </c>
      <c r="G177" s="266">
        <v>4</v>
      </c>
      <c r="H177" s="267">
        <f>N177*1</f>
        <v>32.049999999999997</v>
      </c>
      <c r="I177" s="267">
        <f t="shared" si="88"/>
        <v>128.19999999999999</v>
      </c>
      <c r="J177" s="267">
        <f t="shared" si="89"/>
        <v>29.48599999999999</v>
      </c>
      <c r="K177" s="268">
        <v>0.23</v>
      </c>
      <c r="L177" s="267">
        <f t="shared" si="90"/>
        <v>157.68599999999998</v>
      </c>
      <c r="M177" s="269"/>
      <c r="N177" s="269">
        <f>ROUND(O177*1.08,2)</f>
        <v>32.049999999999997</v>
      </c>
      <c r="O177" s="332">
        <v>29.68</v>
      </c>
      <c r="P177" s="332"/>
      <c r="Q177" s="396"/>
      <c r="R177" s="396" t="s">
        <v>93</v>
      </c>
      <c r="S177" s="269"/>
      <c r="T177" s="269">
        <f>ROUND(U177*1.15,2)</f>
        <v>19.73</v>
      </c>
      <c r="U177" s="269">
        <f>V177*0.66</f>
        <v>17.16</v>
      </c>
      <c r="V177" s="269">
        <v>26</v>
      </c>
      <c r="W177" s="304">
        <v>431622019</v>
      </c>
      <c r="X177" s="304">
        <v>431622019</v>
      </c>
      <c r="Y177" s="397"/>
      <c r="Z177" s="274"/>
      <c r="AC177" s="398"/>
      <c r="AD177" s="399"/>
      <c r="AE177" s="324"/>
      <c r="AF177" s="324"/>
      <c r="AN177" s="210">
        <f t="shared" si="84"/>
        <v>32.648000000000003</v>
      </c>
      <c r="AO177" s="210">
        <f t="shared" si="85"/>
        <v>130.59200000000001</v>
      </c>
    </row>
    <row r="178" spans="2:41" ht="25.5">
      <c r="B178" s="264" t="s">
        <v>727</v>
      </c>
      <c r="C178" s="265" t="s">
        <v>2346</v>
      </c>
      <c r="D178" s="266" t="s">
        <v>2348</v>
      </c>
      <c r="E178" s="266">
        <v>25</v>
      </c>
      <c r="F178" s="265" t="s">
        <v>1624</v>
      </c>
      <c r="G178" s="266">
        <v>4</v>
      </c>
      <c r="H178" s="267">
        <f t="shared" ref="H178:H183" si="102">N178*1</f>
        <v>33.57</v>
      </c>
      <c r="I178" s="267">
        <f t="shared" si="88"/>
        <v>134.28</v>
      </c>
      <c r="J178" s="267">
        <f t="shared" si="89"/>
        <v>30.884399999999999</v>
      </c>
      <c r="K178" s="268">
        <v>0.23</v>
      </c>
      <c r="L178" s="267">
        <f t="shared" si="90"/>
        <v>165.1644</v>
      </c>
      <c r="M178" s="269"/>
      <c r="N178" s="269">
        <f t="shared" ref="N178:N182" si="103">ROUND(O178*1.08,2)</f>
        <v>33.57</v>
      </c>
      <c r="O178" s="332">
        <v>31.08</v>
      </c>
      <c r="P178" s="332"/>
      <c r="Q178" s="396"/>
      <c r="R178" s="396" t="s">
        <v>93</v>
      </c>
      <c r="S178" s="269"/>
      <c r="T178" s="269">
        <f t="shared" ref="T178:T183" si="104">ROUND(U178*1.15,2)</f>
        <v>20.03</v>
      </c>
      <c r="U178" s="269">
        <f t="shared" ref="U178:U183" si="105">V178*0.66</f>
        <v>17.417400000000001</v>
      </c>
      <c r="V178" s="269">
        <v>26.39</v>
      </c>
      <c r="W178" s="304">
        <v>431622023</v>
      </c>
      <c r="X178" s="219"/>
      <c r="Y178" s="397"/>
      <c r="Z178" s="274"/>
      <c r="AC178" s="398"/>
      <c r="AD178" s="399"/>
      <c r="AE178" s="324"/>
      <c r="AF178" s="324"/>
      <c r="AN178" s="210">
        <f t="shared" si="84"/>
        <v>34.188000000000002</v>
      </c>
      <c r="AO178" s="210">
        <f t="shared" si="85"/>
        <v>136.75200000000001</v>
      </c>
    </row>
    <row r="179" spans="2:41" ht="26.25" thickBot="1">
      <c r="B179" s="264" t="s">
        <v>731</v>
      </c>
      <c r="C179" s="265" t="s">
        <v>2346</v>
      </c>
      <c r="D179" s="266" t="s">
        <v>2349</v>
      </c>
      <c r="E179" s="266">
        <v>50</v>
      </c>
      <c r="F179" s="265" t="s">
        <v>1624</v>
      </c>
      <c r="G179" s="266">
        <v>4</v>
      </c>
      <c r="H179" s="267">
        <f t="shared" si="102"/>
        <v>38.22</v>
      </c>
      <c r="I179" s="267">
        <f t="shared" si="88"/>
        <v>152.88</v>
      </c>
      <c r="J179" s="267">
        <f t="shared" si="89"/>
        <v>35.162399999999991</v>
      </c>
      <c r="K179" s="268">
        <v>0.23</v>
      </c>
      <c r="L179" s="267">
        <f t="shared" si="90"/>
        <v>188.04239999999999</v>
      </c>
      <c r="M179" s="269"/>
      <c r="N179" s="269">
        <f t="shared" si="103"/>
        <v>38.22</v>
      </c>
      <c r="O179" s="332">
        <v>35.39</v>
      </c>
      <c r="P179" s="332"/>
      <c r="Q179" s="396" t="s">
        <v>2350</v>
      </c>
      <c r="R179" s="396" t="s">
        <v>2351</v>
      </c>
      <c r="S179" s="269"/>
      <c r="T179" s="269">
        <f t="shared" si="104"/>
        <v>21.81</v>
      </c>
      <c r="U179" s="269">
        <f t="shared" si="105"/>
        <v>18.968399999999999</v>
      </c>
      <c r="V179" s="269">
        <v>28.74</v>
      </c>
      <c r="W179" s="400">
        <v>431622025</v>
      </c>
      <c r="X179" s="219"/>
      <c r="Y179" s="397"/>
      <c r="Z179" s="274"/>
      <c r="AC179" s="398"/>
      <c r="AD179" s="399"/>
      <c r="AE179" s="324"/>
      <c r="AF179" s="324"/>
      <c r="AN179" s="210">
        <f t="shared" si="84"/>
        <v>38.929000000000002</v>
      </c>
      <c r="AO179" s="210">
        <f t="shared" si="85"/>
        <v>155.71600000000001</v>
      </c>
    </row>
    <row r="180" spans="2:41" ht="25.5">
      <c r="B180" s="264" t="s">
        <v>734</v>
      </c>
      <c r="C180" s="265" t="s">
        <v>2346</v>
      </c>
      <c r="D180" s="266" t="s">
        <v>2352</v>
      </c>
      <c r="E180" s="266">
        <v>100</v>
      </c>
      <c r="F180" s="265" t="s">
        <v>1624</v>
      </c>
      <c r="G180" s="266">
        <v>4</v>
      </c>
      <c r="H180" s="267">
        <f t="shared" si="102"/>
        <v>40.15</v>
      </c>
      <c r="I180" s="267">
        <f t="shared" si="88"/>
        <v>160.6</v>
      </c>
      <c r="J180" s="267">
        <f t="shared" si="89"/>
        <v>36.938000000000017</v>
      </c>
      <c r="K180" s="268">
        <v>0.23</v>
      </c>
      <c r="L180" s="267">
        <f t="shared" si="90"/>
        <v>197.53800000000001</v>
      </c>
      <c r="M180" s="269"/>
      <c r="N180" s="269">
        <f t="shared" si="103"/>
        <v>40.15</v>
      </c>
      <c r="O180" s="332">
        <v>37.18</v>
      </c>
      <c r="P180" s="332"/>
      <c r="Q180" s="396" t="s">
        <v>2353</v>
      </c>
      <c r="R180" s="396" t="s">
        <v>2351</v>
      </c>
      <c r="S180" s="269"/>
      <c r="T180" s="269">
        <f t="shared" si="104"/>
        <v>26.41</v>
      </c>
      <c r="U180" s="269">
        <f t="shared" si="105"/>
        <v>22.961400000000001</v>
      </c>
      <c r="V180" s="269">
        <v>34.79</v>
      </c>
      <c r="W180" s="304">
        <v>431622030</v>
      </c>
      <c r="X180" s="219"/>
      <c r="Y180" s="397"/>
      <c r="Z180" s="274"/>
      <c r="AC180" s="398"/>
      <c r="AD180" s="399"/>
      <c r="AE180" s="324"/>
      <c r="AF180" s="324"/>
      <c r="AN180" s="210">
        <f t="shared" si="84"/>
        <v>40.898000000000003</v>
      </c>
      <c r="AO180" s="210">
        <f t="shared" si="85"/>
        <v>163.59200000000001</v>
      </c>
    </row>
    <row r="181" spans="2:41" ht="25.5">
      <c r="B181" s="264" t="s">
        <v>736</v>
      </c>
      <c r="C181" s="265" t="s">
        <v>2346</v>
      </c>
      <c r="D181" s="266" t="s">
        <v>2354</v>
      </c>
      <c r="E181" s="266">
        <v>250</v>
      </c>
      <c r="F181" s="265" t="s">
        <v>1624</v>
      </c>
      <c r="G181" s="266">
        <v>4</v>
      </c>
      <c r="H181" s="267">
        <f t="shared" si="102"/>
        <v>60.62</v>
      </c>
      <c r="I181" s="267">
        <f t="shared" si="88"/>
        <v>242.48</v>
      </c>
      <c r="J181" s="267">
        <f t="shared" si="89"/>
        <v>55.770400000000024</v>
      </c>
      <c r="K181" s="268">
        <v>0.23</v>
      </c>
      <c r="L181" s="267">
        <f t="shared" si="90"/>
        <v>298.25040000000001</v>
      </c>
      <c r="M181" s="269"/>
      <c r="N181" s="269">
        <f t="shared" si="103"/>
        <v>60.62</v>
      </c>
      <c r="O181" s="332">
        <v>56.13</v>
      </c>
      <c r="P181" s="332"/>
      <c r="Q181" s="396" t="s">
        <v>2355</v>
      </c>
      <c r="R181" s="396" t="s">
        <v>2351</v>
      </c>
      <c r="S181" s="269"/>
      <c r="T181" s="269">
        <f t="shared" si="104"/>
        <v>31.89</v>
      </c>
      <c r="U181" s="269">
        <f t="shared" si="105"/>
        <v>27.733200000000004</v>
      </c>
      <c r="V181" s="269">
        <v>42.02</v>
      </c>
      <c r="W181" s="304">
        <v>431622038</v>
      </c>
      <c r="X181" s="219"/>
      <c r="Y181" s="397"/>
      <c r="Z181" s="274"/>
      <c r="AC181" s="398"/>
      <c r="AD181" s="399"/>
      <c r="AE181" s="324"/>
      <c r="AF181" s="324"/>
      <c r="AN181" s="210">
        <f t="shared" si="84"/>
        <v>61.743000000000009</v>
      </c>
      <c r="AO181" s="210">
        <f t="shared" si="85"/>
        <v>246.97200000000004</v>
      </c>
    </row>
    <row r="182" spans="2:41" ht="25.5">
      <c r="B182" s="264" t="s">
        <v>741</v>
      </c>
      <c r="C182" s="265" t="s">
        <v>2346</v>
      </c>
      <c r="D182" s="266" t="s">
        <v>2356</v>
      </c>
      <c r="E182" s="266">
        <v>500</v>
      </c>
      <c r="F182" s="265" t="s">
        <v>1624</v>
      </c>
      <c r="G182" s="266">
        <v>2</v>
      </c>
      <c r="H182" s="267">
        <f t="shared" si="102"/>
        <v>71.930000000000007</v>
      </c>
      <c r="I182" s="267">
        <f t="shared" si="88"/>
        <v>143.86000000000001</v>
      </c>
      <c r="J182" s="267">
        <f t="shared" si="89"/>
        <v>33.087800000000016</v>
      </c>
      <c r="K182" s="268">
        <v>0.23</v>
      </c>
      <c r="L182" s="267">
        <f t="shared" si="90"/>
        <v>176.94780000000003</v>
      </c>
      <c r="M182" s="269"/>
      <c r="N182" s="269">
        <f t="shared" si="103"/>
        <v>71.930000000000007</v>
      </c>
      <c r="O182" s="332">
        <v>66.599999999999994</v>
      </c>
      <c r="P182" s="332"/>
      <c r="Q182" s="396" t="s">
        <v>2357</v>
      </c>
      <c r="R182" s="396" t="s">
        <v>2358</v>
      </c>
      <c r="S182" s="269"/>
      <c r="T182" s="269">
        <f t="shared" si="104"/>
        <v>43.77</v>
      </c>
      <c r="U182" s="269">
        <f t="shared" si="105"/>
        <v>38.062200000000004</v>
      </c>
      <c r="V182" s="269">
        <v>57.67</v>
      </c>
      <c r="W182" s="304">
        <v>431622043</v>
      </c>
      <c r="X182" s="219"/>
      <c r="Y182" s="397"/>
      <c r="Z182" s="274"/>
      <c r="AC182" s="398"/>
      <c r="AD182" s="399"/>
      <c r="AE182" s="324"/>
      <c r="AF182" s="324"/>
      <c r="AN182" s="210">
        <f t="shared" si="84"/>
        <v>73.260000000000005</v>
      </c>
      <c r="AO182" s="210">
        <f t="shared" si="85"/>
        <v>146.52000000000001</v>
      </c>
    </row>
    <row r="183" spans="2:41" ht="25.5">
      <c r="B183" s="264" t="s">
        <v>745</v>
      </c>
      <c r="C183" s="265" t="s">
        <v>2346</v>
      </c>
      <c r="D183" s="266" t="s">
        <v>2359</v>
      </c>
      <c r="E183" s="266">
        <v>1000</v>
      </c>
      <c r="F183" s="265" t="s">
        <v>1624</v>
      </c>
      <c r="G183" s="266">
        <v>2</v>
      </c>
      <c r="H183" s="267">
        <f t="shared" si="102"/>
        <v>112.16</v>
      </c>
      <c r="I183" s="267">
        <f t="shared" si="88"/>
        <v>224.32</v>
      </c>
      <c r="J183" s="267">
        <f t="shared" si="89"/>
        <v>51.593599999999981</v>
      </c>
      <c r="K183" s="268">
        <v>0.23</v>
      </c>
      <c r="L183" s="267">
        <f t="shared" si="90"/>
        <v>275.91359999999997</v>
      </c>
      <c r="M183" s="269"/>
      <c r="N183" s="269">
        <f>ROUND(O183*1.04,2)</f>
        <v>112.16</v>
      </c>
      <c r="O183" s="332">
        <v>107.85</v>
      </c>
      <c r="P183" s="332"/>
      <c r="Q183" s="396" t="s">
        <v>2360</v>
      </c>
      <c r="R183" s="396" t="s">
        <v>2361</v>
      </c>
      <c r="S183" s="269"/>
      <c r="T183" s="269">
        <f t="shared" si="104"/>
        <v>56.05</v>
      </c>
      <c r="U183" s="269">
        <f t="shared" si="105"/>
        <v>48.741</v>
      </c>
      <c r="V183" s="269">
        <v>73.849999999999994</v>
      </c>
      <c r="W183" s="304">
        <v>431622044</v>
      </c>
      <c r="X183" s="219"/>
      <c r="Y183" s="397"/>
      <c r="Z183" s="274"/>
      <c r="AC183" s="398"/>
      <c r="AD183" s="399"/>
      <c r="AE183" s="324"/>
      <c r="AF183" s="324"/>
      <c r="AN183" s="210">
        <f t="shared" si="84"/>
        <v>118.63500000000001</v>
      </c>
      <c r="AO183" s="210">
        <f t="shared" si="85"/>
        <v>237.27</v>
      </c>
    </row>
    <row r="184" spans="2:41" s="141" customFormat="1" ht="25.5">
      <c r="B184" s="264" t="s">
        <v>748</v>
      </c>
      <c r="C184" s="265" t="s">
        <v>2118</v>
      </c>
      <c r="D184" s="275" t="s">
        <v>2362</v>
      </c>
      <c r="E184" s="266">
        <v>250</v>
      </c>
      <c r="F184" s="265" t="s">
        <v>1624</v>
      </c>
      <c r="G184" s="266">
        <v>2</v>
      </c>
      <c r="H184" s="267">
        <f t="shared" ref="H184:H185" si="106">T184*1</f>
        <v>31.9011</v>
      </c>
      <c r="I184" s="267">
        <f t="shared" si="88"/>
        <v>63.802199999999999</v>
      </c>
      <c r="J184" s="267">
        <f t="shared" si="89"/>
        <v>14.674506000000008</v>
      </c>
      <c r="K184" s="268">
        <v>0.23</v>
      </c>
      <c r="L184" s="267">
        <f t="shared" si="90"/>
        <v>78.476706000000007</v>
      </c>
      <c r="M184" s="269"/>
      <c r="N184" s="269">
        <f>ROUND(O184*1.14,2)</f>
        <v>10.37</v>
      </c>
      <c r="O184" s="332">
        <f t="shared" ref="O184:O186" si="107">P184*0.65</f>
        <v>9.1</v>
      </c>
      <c r="P184" s="401">
        <v>14</v>
      </c>
      <c r="Q184" s="402" t="s">
        <v>2120</v>
      </c>
      <c r="R184" s="396" t="s">
        <v>1944</v>
      </c>
      <c r="S184" s="269"/>
      <c r="T184" s="269">
        <f>V184*0.77</f>
        <v>31.9011</v>
      </c>
      <c r="U184" s="269">
        <v>23</v>
      </c>
      <c r="V184" s="269">
        <v>41.43</v>
      </c>
      <c r="W184" s="304">
        <v>426219250</v>
      </c>
      <c r="X184" s="219"/>
      <c r="Y184" s="403"/>
      <c r="Z184" s="274"/>
      <c r="AC184" s="404"/>
      <c r="AD184" s="343"/>
      <c r="AE184" s="405"/>
      <c r="AF184" s="405"/>
      <c r="AN184" s="210">
        <f t="shared" si="84"/>
        <v>10.01</v>
      </c>
      <c r="AO184" s="210">
        <f t="shared" si="85"/>
        <v>20.02</v>
      </c>
    </row>
    <row r="185" spans="2:41" s="141" customFormat="1" ht="25.5">
      <c r="B185" s="264" t="s">
        <v>752</v>
      </c>
      <c r="C185" s="265" t="s">
        <v>2118</v>
      </c>
      <c r="D185" s="275" t="s">
        <v>2363</v>
      </c>
      <c r="E185" s="266">
        <v>500</v>
      </c>
      <c r="F185" s="265" t="s">
        <v>1624</v>
      </c>
      <c r="G185" s="266">
        <v>2</v>
      </c>
      <c r="H185" s="267">
        <f t="shared" si="106"/>
        <v>36.660000000000004</v>
      </c>
      <c r="I185" s="267">
        <f t="shared" si="88"/>
        <v>73.320000000000007</v>
      </c>
      <c r="J185" s="267">
        <f t="shared" si="89"/>
        <v>16.863600000000005</v>
      </c>
      <c r="K185" s="268">
        <v>0.23</v>
      </c>
      <c r="L185" s="267">
        <f t="shared" si="90"/>
        <v>90.183600000000013</v>
      </c>
      <c r="M185" s="269"/>
      <c r="N185" s="269">
        <f>ROUND(O185*1.14,2)</f>
        <v>11.86</v>
      </c>
      <c r="O185" s="332">
        <f t="shared" si="107"/>
        <v>10.4</v>
      </c>
      <c r="P185" s="401">
        <v>16</v>
      </c>
      <c r="Q185" s="402" t="s">
        <v>2122</v>
      </c>
      <c r="R185" s="396" t="s">
        <v>1944</v>
      </c>
      <c r="S185" s="269"/>
      <c r="T185" s="269">
        <f>V185*0.75</f>
        <v>36.660000000000004</v>
      </c>
      <c r="U185" s="269">
        <v>23</v>
      </c>
      <c r="V185" s="269">
        <v>48.88</v>
      </c>
      <c r="W185" s="304">
        <v>426219500</v>
      </c>
      <c r="X185" s="219"/>
      <c r="Y185" s="403"/>
      <c r="Z185" s="274"/>
      <c r="AC185" s="404"/>
      <c r="AD185" s="343"/>
      <c r="AE185" s="405"/>
      <c r="AF185" s="405"/>
      <c r="AN185" s="210">
        <f t="shared" si="84"/>
        <v>11.440000000000001</v>
      </c>
      <c r="AO185" s="210">
        <f t="shared" si="85"/>
        <v>22.880000000000003</v>
      </c>
    </row>
    <row r="186" spans="2:41" s="141" customFormat="1">
      <c r="B186" s="264" t="s">
        <v>756</v>
      </c>
      <c r="C186" s="265" t="s">
        <v>2364</v>
      </c>
      <c r="D186" s="275" t="s">
        <v>2365</v>
      </c>
      <c r="E186" s="338" t="s">
        <v>2147</v>
      </c>
      <c r="F186" s="265" t="s">
        <v>1624</v>
      </c>
      <c r="G186" s="266">
        <v>12</v>
      </c>
      <c r="H186" s="267">
        <f>N186*1</f>
        <v>5.76</v>
      </c>
      <c r="I186" s="267">
        <f t="shared" si="88"/>
        <v>69.12</v>
      </c>
      <c r="J186" s="267">
        <f t="shared" si="89"/>
        <v>15.897599999999997</v>
      </c>
      <c r="K186" s="268">
        <v>0.23</v>
      </c>
      <c r="L186" s="267">
        <f t="shared" si="90"/>
        <v>85.017600000000002</v>
      </c>
      <c r="M186" s="269"/>
      <c r="N186" s="269">
        <f>ROUND(O186*1.15,2)</f>
        <v>5.76</v>
      </c>
      <c r="O186" s="270">
        <f t="shared" si="107"/>
        <v>5.0049999999999999</v>
      </c>
      <c r="P186" s="401">
        <v>7.7</v>
      </c>
      <c r="Q186" s="266" t="s">
        <v>2126</v>
      </c>
      <c r="R186" s="272" t="s">
        <v>1944</v>
      </c>
      <c r="S186" s="296" t="s">
        <v>2125</v>
      </c>
      <c r="T186" s="269"/>
      <c r="U186" s="269"/>
      <c r="V186" s="269"/>
      <c r="W186" s="269"/>
      <c r="X186" s="219"/>
      <c r="Y186" s="403"/>
      <c r="Z186" s="274"/>
      <c r="AC186" s="404"/>
      <c r="AD186" s="343"/>
      <c r="AE186" s="405"/>
      <c r="AF186" s="405"/>
      <c r="AN186" s="210">
        <f t="shared" si="84"/>
        <v>5.5055000000000005</v>
      </c>
      <c r="AO186" s="210">
        <f t="shared" si="85"/>
        <v>66.066000000000003</v>
      </c>
    </row>
    <row r="187" spans="2:41" ht="25.5">
      <c r="B187" s="264" t="s">
        <v>760</v>
      </c>
      <c r="C187" s="265" t="s">
        <v>2366</v>
      </c>
      <c r="D187" s="265">
        <v>28540037</v>
      </c>
      <c r="E187" s="406" t="s">
        <v>2147</v>
      </c>
      <c r="F187" s="265" t="s">
        <v>1624</v>
      </c>
      <c r="G187" s="265">
        <v>2</v>
      </c>
      <c r="H187" s="267">
        <f t="shared" ref="H187:H189" si="108">N187*1</f>
        <v>924.48</v>
      </c>
      <c r="I187" s="267">
        <f t="shared" si="88"/>
        <v>1848.96</v>
      </c>
      <c r="J187" s="267">
        <f t="shared" si="89"/>
        <v>425.26080000000002</v>
      </c>
      <c r="K187" s="268">
        <v>0.23</v>
      </c>
      <c r="L187" s="267">
        <f t="shared" si="90"/>
        <v>2274.2208000000001</v>
      </c>
      <c r="M187" s="269"/>
      <c r="N187" s="269">
        <f>ROUND(O187*1.07,2)</f>
        <v>924.48</v>
      </c>
      <c r="O187" s="270">
        <f>P187*0.9</f>
        <v>864</v>
      </c>
      <c r="P187" s="271">
        <v>960</v>
      </c>
      <c r="Q187" s="272">
        <v>285400037</v>
      </c>
      <c r="R187" s="305"/>
      <c r="S187" s="267" t="s">
        <v>2367</v>
      </c>
      <c r="T187" s="269"/>
      <c r="U187" s="269"/>
      <c r="V187" s="269"/>
      <c r="W187" s="269"/>
      <c r="X187" s="407"/>
      <c r="Y187" s="408"/>
      <c r="Z187" s="409"/>
      <c r="AN187" s="210">
        <f t="shared" si="84"/>
        <v>950.40000000000009</v>
      </c>
      <c r="AO187" s="210">
        <f t="shared" si="85"/>
        <v>1900.8000000000002</v>
      </c>
    </row>
    <row r="188" spans="2:41" ht="25.5">
      <c r="B188" s="264" t="s">
        <v>766</v>
      </c>
      <c r="C188" s="265" t="s">
        <v>2368</v>
      </c>
      <c r="D188" s="265">
        <v>28540053</v>
      </c>
      <c r="E188" s="338" t="s">
        <v>2147</v>
      </c>
      <c r="F188" s="275" t="s">
        <v>1624</v>
      </c>
      <c r="G188" s="275">
        <v>2</v>
      </c>
      <c r="H188" s="267">
        <f t="shared" si="108"/>
        <v>1444.5</v>
      </c>
      <c r="I188" s="267">
        <f t="shared" si="88"/>
        <v>2889</v>
      </c>
      <c r="J188" s="267">
        <f t="shared" si="89"/>
        <v>664.47000000000025</v>
      </c>
      <c r="K188" s="268">
        <v>0.23</v>
      </c>
      <c r="L188" s="267">
        <f t="shared" si="90"/>
        <v>3553.4700000000003</v>
      </c>
      <c r="M188" s="269"/>
      <c r="N188" s="269">
        <f t="shared" ref="N188:N189" si="109">ROUND(O188*1.07,2)</f>
        <v>1444.5</v>
      </c>
      <c r="O188" s="270">
        <f t="shared" ref="O188:O189" si="110">P188*0.9</f>
        <v>1350</v>
      </c>
      <c r="P188" s="271">
        <v>1500</v>
      </c>
      <c r="Q188" s="272">
        <v>285400053</v>
      </c>
      <c r="R188" s="305"/>
      <c r="S188" s="267" t="s">
        <v>2367</v>
      </c>
      <c r="T188" s="269"/>
      <c r="U188" s="269"/>
      <c r="V188" s="269"/>
      <c r="W188" s="269"/>
      <c r="AN188" s="210">
        <f t="shared" si="84"/>
        <v>1485.0000000000002</v>
      </c>
      <c r="AO188" s="210">
        <f t="shared" si="85"/>
        <v>2970.0000000000005</v>
      </c>
    </row>
    <row r="189" spans="2:41" ht="25.5">
      <c r="B189" s="264" t="s">
        <v>769</v>
      </c>
      <c r="C189" s="265" t="s">
        <v>2369</v>
      </c>
      <c r="D189" s="265">
        <v>28540061</v>
      </c>
      <c r="E189" s="338" t="s">
        <v>2147</v>
      </c>
      <c r="F189" s="275" t="s">
        <v>1624</v>
      </c>
      <c r="G189" s="275">
        <v>2</v>
      </c>
      <c r="H189" s="267">
        <f t="shared" si="108"/>
        <v>1540.8</v>
      </c>
      <c r="I189" s="410">
        <f t="shared" si="88"/>
        <v>3081.6</v>
      </c>
      <c r="J189" s="267">
        <f t="shared" si="89"/>
        <v>708.76800000000003</v>
      </c>
      <c r="K189" s="268">
        <v>0.23</v>
      </c>
      <c r="L189" s="410">
        <f t="shared" si="90"/>
        <v>3790.3679999999999</v>
      </c>
      <c r="M189" s="269"/>
      <c r="N189" s="269">
        <f t="shared" si="109"/>
        <v>1540.8</v>
      </c>
      <c r="O189" s="270">
        <f t="shared" si="110"/>
        <v>1440</v>
      </c>
      <c r="P189" s="271">
        <v>1600</v>
      </c>
      <c r="Q189" s="272">
        <v>285400061</v>
      </c>
      <c r="R189" s="305"/>
      <c r="S189" s="267" t="s">
        <v>2367</v>
      </c>
      <c r="T189" s="269"/>
      <c r="U189" s="269"/>
      <c r="V189" s="269"/>
      <c r="W189" s="269"/>
      <c r="AN189" s="210">
        <f t="shared" si="84"/>
        <v>1584.0000000000002</v>
      </c>
      <c r="AO189" s="210">
        <f t="shared" si="85"/>
        <v>3168.0000000000005</v>
      </c>
    </row>
    <row r="190" spans="2:41">
      <c r="B190" s="411"/>
      <c r="C190" s="208"/>
      <c r="D190" s="208"/>
      <c r="E190" s="208"/>
      <c r="F190" s="208"/>
      <c r="G190" s="208"/>
      <c r="H190" s="209"/>
      <c r="I190" s="412"/>
      <c r="J190" s="209"/>
      <c r="K190" s="208"/>
      <c r="L190" s="412"/>
      <c r="M190" s="413"/>
      <c r="N190" s="413"/>
      <c r="O190" s="413"/>
      <c r="P190" s="414"/>
      <c r="Q190" s="413"/>
      <c r="R190" s="413"/>
      <c r="S190" s="413"/>
      <c r="T190" s="413"/>
      <c r="U190" s="413"/>
      <c r="V190" s="413"/>
      <c r="W190" s="413"/>
      <c r="AO190" s="210">
        <f>SUM(AO12:AO189)</f>
        <v>57071.175700000007</v>
      </c>
    </row>
    <row r="191" spans="2:41">
      <c r="B191" s="411"/>
      <c r="C191" s="208"/>
      <c r="D191" s="208"/>
      <c r="E191" s="208"/>
      <c r="F191" s="208"/>
      <c r="G191" s="208"/>
      <c r="H191" s="209"/>
      <c r="I191" s="209"/>
      <c r="J191" s="209"/>
      <c r="K191" s="208"/>
      <c r="L191" s="209"/>
    </row>
    <row r="192" spans="2:41">
      <c r="B192" s="415" t="s">
        <v>2370</v>
      </c>
      <c r="C192" s="415"/>
      <c r="D192" s="415"/>
      <c r="E192" s="415"/>
      <c r="F192" s="415"/>
      <c r="G192" s="415"/>
      <c r="H192" s="415"/>
      <c r="I192" s="415"/>
      <c r="J192" s="415"/>
      <c r="K192" s="415"/>
      <c r="L192" s="209"/>
      <c r="AC192">
        <v>40255.82</v>
      </c>
      <c r="AD192">
        <v>49230.03</v>
      </c>
    </row>
    <row r="193" spans="2:30">
      <c r="B193" s="415" t="s">
        <v>2371</v>
      </c>
      <c r="C193" s="415"/>
      <c r="D193" s="415"/>
      <c r="E193" s="415"/>
      <c r="F193" s="415"/>
      <c r="G193" s="415"/>
      <c r="H193" s="415"/>
      <c r="I193" s="415"/>
      <c r="J193" s="415"/>
      <c r="K193" s="415"/>
      <c r="L193" s="209"/>
      <c r="AC193" t="e">
        <f>#REF!-AC192</f>
        <v>#REF!</v>
      </c>
      <c r="AD193" t="e">
        <f>#REF!-AD192</f>
        <v>#REF!</v>
      </c>
    </row>
    <row r="194" spans="2:30">
      <c r="B194" s="411"/>
      <c r="C194" s="208"/>
      <c r="D194" s="208"/>
      <c r="E194" s="208"/>
      <c r="F194" s="208"/>
      <c r="G194" s="208"/>
      <c r="H194" s="209"/>
      <c r="I194" s="209"/>
      <c r="J194" s="209"/>
      <c r="K194" s="208"/>
      <c r="L194" s="209"/>
    </row>
    <row r="195" spans="2:30">
      <c r="B195" s="207" t="s">
        <v>1589</v>
      </c>
      <c r="C195" s="207"/>
      <c r="D195" s="207"/>
      <c r="E195" s="207"/>
      <c r="F195" s="207"/>
      <c r="G195" s="208"/>
      <c r="H195" s="209"/>
      <c r="I195" s="209"/>
      <c r="J195" s="209"/>
      <c r="K195" s="208"/>
      <c r="L195" s="209"/>
    </row>
    <row r="196" spans="2:30">
      <c r="B196" s="411"/>
      <c r="C196" s="208"/>
      <c r="D196" s="208"/>
      <c r="E196" s="208"/>
      <c r="F196" s="208"/>
      <c r="G196" s="208"/>
      <c r="H196" s="209"/>
      <c r="I196" s="209"/>
      <c r="J196" s="209"/>
      <c r="K196" s="208"/>
      <c r="L196" s="209"/>
    </row>
    <row r="197" spans="2:30">
      <c r="B197" s="416" t="s">
        <v>2372</v>
      </c>
      <c r="C197" s="416"/>
      <c r="D197" s="416"/>
      <c r="E197" s="416"/>
      <c r="F197" s="208"/>
      <c r="G197" s="208"/>
      <c r="H197" s="209"/>
      <c r="I197" s="209"/>
      <c r="J197" s="209"/>
      <c r="K197" s="208"/>
      <c r="L197" s="209"/>
    </row>
    <row r="198" spans="2:30" ht="15.75">
      <c r="B198" s="417" t="s">
        <v>2373</v>
      </c>
    </row>
    <row r="199" spans="2:30" ht="15.75">
      <c r="B199" s="417"/>
    </row>
    <row r="200" spans="2:30" ht="15.75">
      <c r="B200" s="417"/>
    </row>
    <row r="201" spans="2:30" ht="15.75">
      <c r="B201" s="417"/>
    </row>
    <row r="202" spans="2:30" ht="15.75">
      <c r="B202" s="417"/>
    </row>
    <row r="203" spans="2:30" ht="15.75">
      <c r="B203" s="417"/>
    </row>
    <row r="204" spans="2:30" ht="15.75">
      <c r="B204" s="417"/>
    </row>
    <row r="205" spans="2:30" ht="15.75">
      <c r="B205" s="417"/>
    </row>
    <row r="206" spans="2:30" ht="15.75">
      <c r="B206" s="417"/>
    </row>
    <row r="207" spans="2:30" ht="15.75">
      <c r="B207" s="417"/>
    </row>
    <row r="208" spans="2:30" ht="15.75">
      <c r="B208" s="417"/>
      <c r="H208"/>
      <c r="I208"/>
      <c r="J208"/>
      <c r="L208"/>
      <c r="M208"/>
      <c r="N208"/>
      <c r="O208"/>
      <c r="P208"/>
      <c r="Q208"/>
      <c r="R208"/>
      <c r="S208"/>
      <c r="T208"/>
      <c r="U208"/>
      <c r="V208"/>
      <c r="W208"/>
      <c r="Y208"/>
      <c r="Z208"/>
    </row>
    <row r="209" spans="2:26" ht="15.75">
      <c r="B209" s="417"/>
      <c r="H209"/>
      <c r="I209"/>
      <c r="J209"/>
      <c r="L209"/>
      <c r="M209"/>
      <c r="N209"/>
      <c r="O209"/>
      <c r="P209"/>
      <c r="Q209"/>
      <c r="R209"/>
      <c r="S209"/>
      <c r="T209"/>
      <c r="U209"/>
      <c r="V209"/>
      <c r="W209"/>
      <c r="Y209"/>
      <c r="Z209"/>
    </row>
    <row r="210" spans="2:26" ht="15.75">
      <c r="B210" s="417"/>
      <c r="H210"/>
      <c r="I210"/>
      <c r="J210"/>
      <c r="L210"/>
      <c r="M210"/>
      <c r="N210"/>
      <c r="O210"/>
      <c r="P210"/>
      <c r="Q210"/>
      <c r="R210"/>
      <c r="S210"/>
      <c r="T210"/>
      <c r="U210"/>
      <c r="V210"/>
      <c r="W210"/>
      <c r="Y210"/>
      <c r="Z210"/>
    </row>
    <row r="211" spans="2:26" ht="15.75">
      <c r="B211" s="417"/>
      <c r="H211"/>
      <c r="I211"/>
      <c r="J211"/>
      <c r="L211"/>
      <c r="M211"/>
      <c r="N211"/>
      <c r="O211"/>
      <c r="P211"/>
      <c r="Q211"/>
      <c r="R211"/>
      <c r="S211"/>
      <c r="T211"/>
      <c r="U211"/>
      <c r="V211"/>
      <c r="W211"/>
      <c r="Y211"/>
      <c r="Z211"/>
    </row>
    <row r="212" spans="2:26" ht="15.75">
      <c r="B212" s="417"/>
      <c r="H212"/>
      <c r="I212"/>
      <c r="J212"/>
      <c r="L212"/>
      <c r="M212"/>
      <c r="N212"/>
      <c r="O212"/>
      <c r="P212"/>
      <c r="Q212"/>
      <c r="R212"/>
      <c r="S212"/>
      <c r="T212"/>
      <c r="U212"/>
      <c r="V212"/>
      <c r="W212"/>
      <c r="Y212"/>
      <c r="Z212"/>
    </row>
    <row r="213" spans="2:26" ht="15.75">
      <c r="B213" s="417"/>
      <c r="H213"/>
      <c r="I213"/>
      <c r="J213"/>
      <c r="L213"/>
      <c r="M213"/>
      <c r="N213"/>
      <c r="O213"/>
      <c r="P213"/>
      <c r="Q213"/>
      <c r="R213"/>
      <c r="S213"/>
      <c r="T213"/>
      <c r="U213"/>
      <c r="V213"/>
      <c r="W213"/>
      <c r="Y213"/>
      <c r="Z213"/>
    </row>
    <row r="214" spans="2:26" ht="15.75">
      <c r="B214" s="417"/>
      <c r="H214"/>
      <c r="I214"/>
      <c r="J214"/>
      <c r="L214"/>
      <c r="M214"/>
      <c r="N214"/>
      <c r="O214"/>
      <c r="P214"/>
      <c r="Q214"/>
      <c r="R214"/>
      <c r="S214"/>
      <c r="T214"/>
      <c r="U214"/>
      <c r="V214"/>
      <c r="W214"/>
      <c r="Y214"/>
      <c r="Z214"/>
    </row>
    <row r="215" spans="2:26" ht="15.75">
      <c r="B215" s="417"/>
      <c r="H215"/>
      <c r="I215"/>
      <c r="J215"/>
      <c r="L215"/>
      <c r="M215"/>
      <c r="N215"/>
      <c r="O215"/>
      <c r="P215"/>
      <c r="Q215"/>
      <c r="R215"/>
      <c r="S215"/>
      <c r="T215"/>
      <c r="U215"/>
      <c r="V215"/>
      <c r="W215"/>
      <c r="Y215"/>
      <c r="Z215"/>
    </row>
    <row r="216" spans="2:26" ht="15.75">
      <c r="B216" s="417"/>
      <c r="H216"/>
      <c r="I216"/>
      <c r="J216"/>
      <c r="L216"/>
      <c r="M216"/>
      <c r="N216"/>
      <c r="O216"/>
      <c r="P216"/>
      <c r="Q216"/>
      <c r="R216"/>
      <c r="S216"/>
      <c r="T216"/>
      <c r="U216"/>
      <c r="V216"/>
      <c r="W216"/>
      <c r="Y216"/>
      <c r="Z216"/>
    </row>
    <row r="217" spans="2:26" ht="15.75">
      <c r="B217" s="417"/>
      <c r="H217"/>
      <c r="I217"/>
      <c r="J217"/>
      <c r="L217"/>
      <c r="M217"/>
      <c r="N217"/>
      <c r="O217"/>
      <c r="P217"/>
      <c r="Q217"/>
      <c r="R217"/>
      <c r="S217"/>
      <c r="T217"/>
      <c r="U217"/>
      <c r="V217"/>
      <c r="W217"/>
      <c r="Y217"/>
      <c r="Z217"/>
    </row>
  </sheetData>
  <mergeCells count="17">
    <mergeCell ref="B192:K192"/>
    <mergeCell ref="B193:K193"/>
    <mergeCell ref="B195:F195"/>
    <mergeCell ref="B197:E197"/>
    <mergeCell ref="N9:N11"/>
    <mergeCell ref="O9:O11"/>
    <mergeCell ref="P9:P11"/>
    <mergeCell ref="Q9:Q11"/>
    <mergeCell ref="R9:R11"/>
    <mergeCell ref="D10:E10"/>
    <mergeCell ref="J10:K10"/>
    <mergeCell ref="J11:K11"/>
    <mergeCell ref="B5:C5"/>
    <mergeCell ref="B6:C6"/>
    <mergeCell ref="B8:L8"/>
    <mergeCell ref="D9:E9"/>
    <mergeCell ref="J9:K9"/>
  </mergeCells>
  <hyperlinks>
    <hyperlink ref="W16" r:id="rId1" tooltip="butelka z nakrętką GWINT 45  00100ml CHEMLAND" display="http://sklep-chemland.pl/index.php?gdzie=487&amp;jst=produkt&amp;numer_produktu=1267"/>
    <hyperlink ref="W17" r:id="rId2" tooltip="butelka z nakrętką GWINT 45  00250ml CHEMLAND" display="http://sklep-chemland.pl/index.php?gdzie=487&amp;jst=produkt&amp;numer_produktu=1268"/>
    <hyperlink ref="W19" r:id="rId3" tooltip="butelka z nakrętką GWINT 45  01000ml CHEMLAND" display="http://sklep-chemland.pl/index.php?gdzie=487&amp;jst=produkt&amp;numer_produktu=1270"/>
    <hyperlink ref="W18" r:id="rId4" tooltip="butelka z nakrętką GWINT 45  00500ml CHEMLAND" display="http://sklep-chemland.pl/index.php?gdzie=487&amp;jst=produkt&amp;numer_produktu=1269"/>
    <hyperlink ref="Q33" r:id="rId5" tooltip="butelka z BORO 3,3  00500  WS 24/29  SiO2&gt;80,5%" display="http://sklep-chemland.pl/index.php?gdzie=163&amp;jst=produkt&amp;numer_produktu=4111"/>
    <hyperlink ref="D55" r:id="rId6" tooltip="cylinder PP z wylewem , skala tłoczona 0100ml  " display="http://sklep-chemland.pl/index.php?gdzie=440&amp;jst=produkt&amp;numer_produktu=21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ODCZYNNIKI</vt:lpstr>
      <vt:lpstr>DROBNY SPRZĘT</vt:lpstr>
      <vt:lpstr>SZKŁO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2016-12-20T07:41:03Z</dcterms:created>
  <dcterms:modified xsi:type="dcterms:W3CDTF">2016-12-20T08:02:13Z</dcterms:modified>
</cp:coreProperties>
</file>